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115" tabRatio="859" activeTab="0"/>
  </bookViews>
  <sheets>
    <sheet name="31.12.2022" sheetId="1" r:id="rId1"/>
  </sheets>
  <definedNames/>
  <calcPr fullCalcOnLoad="1"/>
</workbook>
</file>

<file path=xl/sharedStrings.xml><?xml version="1.0" encoding="utf-8"?>
<sst xmlns="http://schemas.openxmlformats.org/spreadsheetml/2006/main" count="218" uniqueCount="136">
  <si>
    <t>Поступило, руб.</t>
  </si>
  <si>
    <t>№п</t>
  </si>
  <si>
    <t>Осталось, руб.</t>
  </si>
  <si>
    <t>Доходы:</t>
  </si>
  <si>
    <t>Итого:</t>
  </si>
  <si>
    <t>Расходы:</t>
  </si>
  <si>
    <t>фонд оплаты труда, в т.ч. НДФЛ: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</si>
  <si>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</si>
  <si>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</si>
  <si>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</si>
  <si>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</si>
  <si>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</si>
  <si>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</si>
  <si>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</si>
  <si>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</si>
  <si>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</si>
  <si>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</si>
  <si>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</si>
  <si>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премиальный фонд, в т.ч. НДФЛ:</t>
  </si>
  <si>
    <t xml:space="preserve">декабрь </t>
  </si>
  <si>
    <t>договора оказания услуг (физ.лица), в т.ч. НДФЛ</t>
  </si>
  <si>
    <t>декабрь</t>
  </si>
  <si>
    <t>налоги при УСН (доходы-расходы 15 %)</t>
  </si>
  <si>
    <t>1 квартал</t>
  </si>
  <si>
    <t>услуги банка:</t>
  </si>
  <si>
    <t>связь:</t>
  </si>
  <si>
    <t>услуги аварийной службы:</t>
  </si>
  <si>
    <t>канцтовары, обслуживание оргтехники:</t>
  </si>
  <si>
    <t>юридические услуги:</t>
  </si>
  <si>
    <t>5</t>
  </si>
  <si>
    <t>Ремонтные работы:</t>
  </si>
  <si>
    <t>Инженерных коммуникаций дома:</t>
  </si>
  <si>
    <t>Электрической сети.</t>
  </si>
  <si>
    <t>Благоустройство дома</t>
  </si>
  <si>
    <t>Благоустройство дворовой территории.</t>
  </si>
  <si>
    <t>6</t>
  </si>
  <si>
    <t>Непредвиденные расходы</t>
  </si>
  <si>
    <t>Главный бухгалтер</t>
  </si>
  <si>
    <t>Приобретение огнетушителей</t>
  </si>
  <si>
    <t>Проведение праздника двора: к Дню защиты детей, 1 сентября, к Новому году</t>
  </si>
  <si>
    <t>услуги почтовой связи</t>
  </si>
  <si>
    <t>Покупка рассады цветов, саженцев деревьев, кустарников, материалы для ухода за зелеными насаждениями</t>
  </si>
  <si>
    <t>Ковалева Л.И.</t>
  </si>
  <si>
    <t>транспортные расходы</t>
  </si>
  <si>
    <t>страхование лифтов, ответственности</t>
  </si>
  <si>
    <t>Текущий ремонт электропроводки в подвалах, на техэтажах и в подъездах жилого дома, устранение неисправностей, установка плафонов, эл.патронов, выключателей, эл.ламп</t>
  </si>
  <si>
    <t>Площадь 25127,2 м2</t>
  </si>
  <si>
    <t>Израсходовано, руб.</t>
  </si>
  <si>
    <t>1 полугодие авансовый</t>
  </si>
  <si>
    <t>9 месяцев авансовый</t>
  </si>
  <si>
    <t>1</t>
  </si>
  <si>
    <t>2</t>
  </si>
  <si>
    <t>3</t>
  </si>
  <si>
    <t>4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</si>
  <si>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</si>
  <si>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</si>
  <si>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</si>
  <si>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</si>
  <si>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</si>
  <si>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</si>
  <si>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</si>
  <si>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</si>
  <si>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</si>
  <si>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диагностика системы вентиляции</t>
  </si>
  <si>
    <t>19</t>
  </si>
  <si>
    <t>19.1</t>
  </si>
  <si>
    <t>19.2</t>
  </si>
  <si>
    <t>19.3</t>
  </si>
  <si>
    <t>20</t>
  </si>
  <si>
    <t>20.1</t>
  </si>
  <si>
    <t>20.2</t>
  </si>
  <si>
    <t>20.3</t>
  </si>
  <si>
    <t>21</t>
  </si>
  <si>
    <t>22</t>
  </si>
  <si>
    <t>23</t>
  </si>
  <si>
    <t>Расчет с поставщиками коммунальных ресурсов</t>
  </si>
  <si>
    <t>Запланировано, руб.</t>
  </si>
  <si>
    <t>Отчисления на социальное страхование</t>
  </si>
  <si>
    <t>Уборка снега и наледи спецтехникой</t>
  </si>
  <si>
    <t>17</t>
  </si>
  <si>
    <t>18</t>
  </si>
  <si>
    <t>Итого израсходовано по статьям</t>
  </si>
  <si>
    <t>ПАО "Квадра-Воронежская генерация"</t>
  </si>
  <si>
    <t>ПАО "ТНС-энерго Воронеж"</t>
  </si>
  <si>
    <t>ООО "РВК-Воронеж"</t>
  </si>
  <si>
    <t>Тариф 11,00 руб./кв.м</t>
  </si>
  <si>
    <t>Очистка и покраска бордюров; побелка деревьев</t>
  </si>
  <si>
    <t>ЭР-Телеком (домофон)</t>
  </si>
  <si>
    <t>18.1</t>
  </si>
  <si>
    <t>20.4</t>
  </si>
  <si>
    <t>20.5</t>
  </si>
  <si>
    <t xml:space="preserve"> Информация по фонду капитального ремонта ТСЖ "Московский 94" на 2019 год</t>
  </si>
  <si>
    <t>Поступления</t>
  </si>
  <si>
    <t>Расход</t>
  </si>
  <si>
    <t>Подотчетная сумма</t>
  </si>
  <si>
    <t>Приобретение материалов для выполнения аварийных работ на стояках ХВС,ГВС, канализации по заявкам собственников</t>
  </si>
  <si>
    <t>Установка петель и замков на электрические щитки на лестничных площадках</t>
  </si>
  <si>
    <t>Опиловка деревьев во дворе дома</t>
  </si>
  <si>
    <t>дератизация, дезинсекция, дезинфекция</t>
  </si>
  <si>
    <t>за предыдущий год</t>
  </si>
  <si>
    <t>Завоз песка и соли для посыпки тротуаров в зимнее время года и для приведения подвалов в санитарно-техническое состояние, на детскую площадку</t>
  </si>
  <si>
    <t>услуги РВЦ "Северный"</t>
  </si>
  <si>
    <t>хозтовары, спецодежда, инвентарь:</t>
  </si>
  <si>
    <t>20.6</t>
  </si>
  <si>
    <t>Поступило на счет, руб.</t>
  </si>
  <si>
    <t>Списано со счета, руб.</t>
  </si>
  <si>
    <t>Денежные средства на расчетном счете</t>
  </si>
  <si>
    <t>Входящий остаток на 01.01.2021 г., руб.</t>
  </si>
  <si>
    <t>Остаток на 31.12.2021</t>
  </si>
  <si>
    <t>Отчет по смете доходов и расходов ТСЖ "Московский 94" на 31.12.2022 г.</t>
  </si>
  <si>
    <t>Входящий остаток на 01.01.2022г., руб.</t>
  </si>
  <si>
    <t>Осталось на 31.12.2022г., руб.</t>
  </si>
  <si>
    <t>поступления за содержание и ремонт жилья, вывоз ТКО</t>
  </si>
  <si>
    <t>поступления за нежилые помещения, провайдеров и прочее</t>
  </si>
  <si>
    <t>АО "Экотехнологии" (вывоз тко)</t>
  </si>
  <si>
    <t>СБИС</t>
  </si>
  <si>
    <t>Установка пластиковых стеклопакетов в подвалах</t>
  </si>
  <si>
    <t>Установка антипарковочных полусфер</t>
  </si>
  <si>
    <t>шланг на катушке</t>
  </si>
  <si>
    <t>ремонт бензокос</t>
  </si>
  <si>
    <t>цемент</t>
  </si>
  <si>
    <t>возврат от поставщика услуг</t>
  </si>
  <si>
    <t>Тариф 9,82 руб./кв.м</t>
  </si>
  <si>
    <t>сотовая</t>
  </si>
  <si>
    <t>ростелеком</t>
  </si>
  <si>
    <t>Замена напольной плитки на лестничных площадках 66 кв.м  подъезда № 6</t>
  </si>
  <si>
    <t>Установка защитной сетки на вентиляционную шахту на крыше подъездов №1,3,4,5,6,7</t>
  </si>
  <si>
    <t>Замена напольной плитки на лестничных площадках 53,32 кв.м  подъезда № 3</t>
  </si>
  <si>
    <t>Ремонт мягкой кровли площадью 445 кв.м подъезда №7; лифтовых шахт 135 кв.м подъездов №2,3,5</t>
  </si>
  <si>
    <t>16</t>
  </si>
  <si>
    <t>17.1</t>
  </si>
  <si>
    <t>18.2</t>
  </si>
  <si>
    <t>19.4</t>
  </si>
  <si>
    <t>19.5</t>
  </si>
  <si>
    <t>19.6</t>
  </si>
  <si>
    <t>Площадь 25647,8 м2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</si>
</sst>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u val="single"/>
      <sz val="12"/>
      <name val="Arial Cyr"/>
      <family val="2"/>
    </font>
    <font>
      <b/>
      <u val="single"/>
      <sz val="10"/>
      <name val="Arial Cyr"/>
      <family val="2"/>
    </font>
    <font>
      <sz val="14"/>
      <name val="Arial Cyr"/>
      <family val="2"/>
    </font>
    <font>
      <sz val="10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b/>
      <sz val="12"/>
      <name val="Arial Cyr"/>
      <family val="2"/>
    </font>
    <font>
      <sz val="12"/>
      <name val="Arial Cyr"/>
      <family val="0"/>
    </font>
    <font>
      <sz val="12"/>
      <color indexed="21"/>
      <name val="Arial"/>
      <family val="2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4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Arial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Calibri"/>
      <family val="2"/>
    </font>
    <font>
      <sz val="14"/>
      <name val="Calibri"/>
      <family val="2"/>
    </font>
    <font>
      <b/>
      <sz val="1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i/>
      <sz val="14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1" xfId="0" applyFill="1" applyBorder="1" applyAlignment="1">
      <alignment horizontal="right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2" fontId="0" fillId="0" borderId="0" xfId="0" applyNumberFormat="1" applyAlignment="1">
      <alignment/>
    </xf>
    <xf numFmtId="0" fontId="5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right"/>
    </xf>
    <xf numFmtId="0" fontId="0" fillId="0" borderId="0" xfId="0" applyNumberFormat="1" applyAlignment="1">
      <alignment/>
    </xf>
    <xf numFmtId="0" fontId="3" fillId="34" borderId="11" xfId="0" applyFont="1" applyFill="1" applyBorder="1" applyAlignment="1">
      <alignment/>
    </xf>
    <xf numFmtId="49" fontId="0" fillId="33" borderId="11" xfId="0" applyNumberForma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3" fillId="34" borderId="11" xfId="0" applyFont="1" applyFill="1" applyBorder="1" applyAlignment="1">
      <alignment wrapText="1"/>
    </xf>
    <xf numFmtId="0" fontId="2" fillId="33" borderId="11" xfId="0" applyFont="1" applyFill="1" applyBorder="1" applyAlignment="1">
      <alignment/>
    </xf>
    <xf numFmtId="0" fontId="0" fillId="0" borderId="0" xfId="0" applyBorder="1" applyAlignment="1">
      <alignment/>
    </xf>
    <xf numFmtId="4" fontId="3" fillId="33" borderId="12" xfId="0" applyNumberFormat="1" applyFont="1" applyFill="1" applyBorder="1" applyAlignment="1">
      <alignment/>
    </xf>
    <xf numFmtId="4" fontId="3" fillId="35" borderId="12" xfId="0" applyNumberFormat="1" applyFont="1" applyFill="1" applyBorder="1" applyAlignment="1">
      <alignment/>
    </xf>
    <xf numFmtId="0" fontId="57" fillId="33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1" xfId="0" applyFill="1" applyBorder="1" applyAlignment="1">
      <alignment horizontal="right"/>
    </xf>
    <xf numFmtId="0" fontId="0" fillId="33" borderId="12" xfId="0" applyFont="1" applyFill="1" applyBorder="1" applyAlignment="1">
      <alignment wrapText="1"/>
    </xf>
    <xf numFmtId="4" fontId="0" fillId="33" borderId="12" xfId="0" applyNumberFormat="1" applyFill="1" applyBorder="1" applyAlignment="1">
      <alignment/>
    </xf>
    <xf numFmtId="49" fontId="57" fillId="34" borderId="11" xfId="0" applyNumberFormat="1" applyFont="1" applyFill="1" applyBorder="1" applyAlignment="1">
      <alignment horizontal="right"/>
    </xf>
    <xf numFmtId="49" fontId="57" fillId="33" borderId="11" xfId="0" applyNumberFormat="1" applyFont="1" applyFill="1" applyBorder="1" applyAlignment="1">
      <alignment horizontal="right"/>
    </xf>
    <xf numFmtId="49" fontId="57" fillId="37" borderId="11" xfId="0" applyNumberFormat="1" applyFont="1" applyFill="1" applyBorder="1" applyAlignment="1">
      <alignment horizontal="right"/>
    </xf>
    <xf numFmtId="0" fontId="57" fillId="33" borderId="11" xfId="0" applyFont="1" applyFill="1" applyBorder="1" applyAlignment="1">
      <alignment wrapText="1"/>
    </xf>
    <xf numFmtId="2" fontId="0" fillId="0" borderId="0" xfId="0" applyNumberFormat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6" fillId="33" borderId="12" xfId="0" applyFont="1" applyFill="1" applyBorder="1" applyAlignment="1">
      <alignment horizontal="right"/>
    </xf>
    <xf numFmtId="4" fontId="0" fillId="33" borderId="12" xfId="0" applyNumberFormat="1" applyFont="1" applyFill="1" applyBorder="1" applyAlignment="1">
      <alignment/>
    </xf>
    <xf numFmtId="4" fontId="3" fillId="34" borderId="12" xfId="0" applyNumberFormat="1" applyFont="1" applyFill="1" applyBorder="1" applyAlignment="1">
      <alignment wrapText="1"/>
    </xf>
    <xf numFmtId="0" fontId="0" fillId="33" borderId="12" xfId="0" applyFont="1" applyFill="1" applyBorder="1" applyAlignment="1">
      <alignment/>
    </xf>
    <xf numFmtId="4" fontId="5" fillId="33" borderId="12" xfId="0" applyNumberFormat="1" applyFont="1" applyFill="1" applyBorder="1" applyAlignment="1">
      <alignment horizontal="center"/>
    </xf>
    <xf numFmtId="4" fontId="0" fillId="33" borderId="12" xfId="0" applyNumberFormat="1" applyFont="1" applyFill="1" applyBorder="1" applyAlignment="1">
      <alignment wrapText="1"/>
    </xf>
    <xf numFmtId="0" fontId="3" fillId="33" borderId="13" xfId="0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4" fontId="66" fillId="38" borderId="13" xfId="0" applyNumberFormat="1" applyFont="1" applyFill="1" applyBorder="1" applyAlignment="1">
      <alignment/>
    </xf>
    <xf numFmtId="4" fontId="8" fillId="38" borderId="13" xfId="0" applyNumberFormat="1" applyFont="1" applyFill="1" applyBorder="1" applyAlignment="1">
      <alignment/>
    </xf>
    <xf numFmtId="4" fontId="67" fillId="38" borderId="13" xfId="0" applyNumberFormat="1" applyFont="1" applyFill="1" applyBorder="1" applyAlignment="1">
      <alignment/>
    </xf>
    <xf numFmtId="0" fontId="4" fillId="38" borderId="13" xfId="0" applyFont="1" applyFill="1" applyBorder="1" applyAlignment="1">
      <alignment/>
    </xf>
    <xf numFmtId="2" fontId="0" fillId="38" borderId="13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2" fontId="57" fillId="38" borderId="13" xfId="0" applyNumberFormat="1" applyFont="1" applyFill="1" applyBorder="1" applyAlignment="1">
      <alignment/>
    </xf>
    <xf numFmtId="4" fontId="68" fillId="38" borderId="13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4" fontId="0" fillId="33" borderId="13" xfId="0" applyNumberFormat="1" applyFill="1" applyBorder="1" applyAlignment="1">
      <alignment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69" fillId="33" borderId="11" xfId="0" applyNumberFormat="1" applyFont="1" applyFill="1" applyBorder="1" applyAlignment="1">
      <alignment horizontal="center"/>
    </xf>
    <xf numFmtId="4" fontId="70" fillId="38" borderId="13" xfId="0" applyNumberFormat="1" applyFont="1" applyFill="1" applyBorder="1" applyAlignment="1">
      <alignment/>
    </xf>
    <xf numFmtId="49" fontId="71" fillId="34" borderId="11" xfId="0" applyNumberFormat="1" applyFont="1" applyFill="1" applyBorder="1" applyAlignment="1">
      <alignment horizontal="center"/>
    </xf>
    <xf numFmtId="4" fontId="72" fillId="0" borderId="0" xfId="0" applyNumberFormat="1" applyFont="1" applyAlignment="1">
      <alignment/>
    </xf>
    <xf numFmtId="4" fontId="7" fillId="39" borderId="13" xfId="0" applyNumberFormat="1" applyFont="1" applyFill="1" applyBorder="1" applyAlignment="1">
      <alignment/>
    </xf>
    <xf numFmtId="0" fontId="10" fillId="33" borderId="14" xfId="0" applyFont="1" applyFill="1" applyBorder="1" applyAlignment="1">
      <alignment horizontal="center"/>
    </xf>
    <xf numFmtId="0" fontId="69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73" fillId="0" borderId="0" xfId="0" applyFont="1" applyFill="1" applyBorder="1" applyAlignment="1">
      <alignment wrapText="1"/>
    </xf>
    <xf numFmtId="0" fontId="3" fillId="33" borderId="18" xfId="0" applyFont="1" applyFill="1" applyBorder="1" applyAlignment="1">
      <alignment horizontal="left" wrapText="1"/>
    </xf>
    <xf numFmtId="0" fontId="3" fillId="33" borderId="19" xfId="0" applyFont="1" applyFill="1" applyBorder="1" applyAlignment="1">
      <alignment wrapText="1"/>
    </xf>
    <xf numFmtId="0" fontId="3" fillId="36" borderId="15" xfId="0" applyFont="1" applyFill="1" applyBorder="1" applyAlignment="1">
      <alignment/>
    </xf>
    <xf numFmtId="2" fontId="3" fillId="36" borderId="16" xfId="0" applyNumberFormat="1" applyFont="1" applyFill="1" applyBorder="1" applyAlignment="1">
      <alignment/>
    </xf>
    <xf numFmtId="4" fontId="11" fillId="0" borderId="13" xfId="53" applyNumberFormat="1" applyFont="1" applyBorder="1" applyAlignment="1">
      <alignment horizontal="right" wrapText="1"/>
      <protection/>
    </xf>
    <xf numFmtId="4" fontId="11" fillId="0" borderId="13" xfId="53" applyNumberFormat="1" applyFont="1" applyBorder="1" applyAlignment="1">
      <alignment horizontal="right" vertical="top" wrapText="1"/>
      <protection/>
    </xf>
    <xf numFmtId="4" fontId="12" fillId="40" borderId="13" xfId="0" applyNumberFormat="1" applyFont="1" applyFill="1" applyBorder="1" applyAlignment="1">
      <alignment/>
    </xf>
    <xf numFmtId="4" fontId="11" fillId="33" borderId="13" xfId="53" applyNumberFormat="1" applyFont="1" applyFill="1" applyBorder="1" applyAlignment="1">
      <alignment horizontal="right" wrapText="1"/>
      <protection/>
    </xf>
    <xf numFmtId="4" fontId="11" fillId="33" borderId="16" xfId="53" applyNumberFormat="1" applyFont="1" applyFill="1" applyBorder="1" applyAlignment="1">
      <alignment horizontal="right" wrapText="1"/>
      <protection/>
    </xf>
    <xf numFmtId="4" fontId="11" fillId="33" borderId="20" xfId="53" applyNumberFormat="1" applyFont="1" applyFill="1" applyBorder="1" applyAlignment="1">
      <alignment horizontal="right" wrapText="1"/>
      <protection/>
    </xf>
    <xf numFmtId="4" fontId="13" fillId="38" borderId="13" xfId="0" applyNumberFormat="1" applyFont="1" applyFill="1" applyBorder="1" applyAlignment="1">
      <alignment/>
    </xf>
    <xf numFmtId="4" fontId="12" fillId="33" borderId="13" xfId="0" applyNumberFormat="1" applyFont="1" applyFill="1" applyBorder="1" applyAlignment="1">
      <alignment/>
    </xf>
    <xf numFmtId="4" fontId="74" fillId="38" borderId="13" xfId="0" applyNumberFormat="1" applyFont="1" applyFill="1" applyBorder="1" applyAlignment="1">
      <alignment/>
    </xf>
    <xf numFmtId="4" fontId="12" fillId="35" borderId="13" xfId="0" applyNumberFormat="1" applyFont="1" applyFill="1" applyBorder="1" applyAlignment="1">
      <alignment/>
    </xf>
    <xf numFmtId="4" fontId="75" fillId="35" borderId="13" xfId="0" applyNumberFormat="1" applyFont="1" applyFill="1" applyBorder="1" applyAlignment="1">
      <alignment/>
    </xf>
    <xf numFmtId="4" fontId="14" fillId="0" borderId="13" xfId="52" applyNumberFormat="1" applyFont="1" applyFill="1" applyBorder="1" applyAlignment="1">
      <alignment horizontal="right" vertical="top" wrapText="1"/>
      <protection/>
    </xf>
    <xf numFmtId="4" fontId="14" fillId="33" borderId="13" xfId="52" applyNumberFormat="1" applyFont="1" applyFill="1" applyBorder="1" applyAlignment="1">
      <alignment horizontal="right" vertical="top" wrapText="1"/>
      <protection/>
    </xf>
    <xf numFmtId="4" fontId="27" fillId="33" borderId="13" xfId="0" applyNumberFormat="1" applyFont="1" applyFill="1" applyBorder="1" applyAlignment="1">
      <alignment/>
    </xf>
    <xf numFmtId="4" fontId="75" fillId="38" borderId="13" xfId="0" applyNumberFormat="1" applyFont="1" applyFill="1" applyBorder="1" applyAlignment="1">
      <alignment/>
    </xf>
    <xf numFmtId="2" fontId="75" fillId="33" borderId="13" xfId="0" applyNumberFormat="1" applyFont="1" applyFill="1" applyBorder="1" applyAlignment="1">
      <alignment wrapText="1"/>
    </xf>
    <xf numFmtId="4" fontId="75" fillId="33" borderId="13" xfId="0" applyNumberFormat="1" applyFont="1" applyFill="1" applyBorder="1" applyAlignment="1">
      <alignment/>
    </xf>
    <xf numFmtId="4" fontId="12" fillId="0" borderId="13" xfId="0" applyNumberFormat="1" applyFont="1" applyFill="1" applyBorder="1" applyAlignment="1">
      <alignment/>
    </xf>
    <xf numFmtId="2" fontId="75" fillId="38" borderId="13" xfId="0" applyNumberFormat="1" applyFont="1" applyFill="1" applyBorder="1" applyAlignment="1">
      <alignment/>
    </xf>
    <xf numFmtId="0" fontId="75" fillId="0" borderId="13" xfId="0" applyFont="1" applyFill="1" applyBorder="1" applyAlignment="1">
      <alignment wrapText="1"/>
    </xf>
    <xf numFmtId="2" fontId="75" fillId="38" borderId="13" xfId="0" applyNumberFormat="1" applyFont="1" applyFill="1" applyBorder="1" applyAlignment="1">
      <alignment wrapText="1"/>
    </xf>
    <xf numFmtId="2" fontId="12" fillId="35" borderId="13" xfId="0" applyNumberFormat="1" applyFont="1" applyFill="1" applyBorder="1" applyAlignment="1">
      <alignment/>
    </xf>
    <xf numFmtId="2" fontId="75" fillId="0" borderId="13" xfId="0" applyNumberFormat="1" applyFont="1" applyFill="1" applyBorder="1" applyAlignment="1">
      <alignment wrapText="1"/>
    </xf>
    <xf numFmtId="2" fontId="66" fillId="35" borderId="13" xfId="0" applyNumberFormat="1" applyFont="1" applyFill="1" applyBorder="1" applyAlignment="1">
      <alignment/>
    </xf>
    <xf numFmtId="4" fontId="66" fillId="35" borderId="13" xfId="0" applyNumberFormat="1" applyFont="1" applyFill="1" applyBorder="1" applyAlignment="1">
      <alignment/>
    </xf>
    <xf numFmtId="2" fontId="75" fillId="33" borderId="13" xfId="0" applyNumberFormat="1" applyFont="1" applyFill="1" applyBorder="1" applyAlignment="1">
      <alignment/>
    </xf>
    <xf numFmtId="4" fontId="75" fillId="38" borderId="13" xfId="0" applyNumberFormat="1" applyFont="1" applyFill="1" applyBorder="1" applyAlignment="1">
      <alignment wrapText="1"/>
    </xf>
    <xf numFmtId="4" fontId="75" fillId="33" borderId="13" xfId="0" applyNumberFormat="1" applyFont="1" applyFill="1" applyBorder="1" applyAlignment="1">
      <alignment wrapText="1"/>
    </xf>
    <xf numFmtId="4" fontId="75" fillId="38" borderId="13" xfId="0" applyNumberFormat="1" applyFont="1" applyFill="1" applyBorder="1" applyAlignment="1">
      <alignment/>
    </xf>
    <xf numFmtId="4" fontId="12" fillId="35" borderId="13" xfId="0" applyNumberFormat="1" applyFont="1" applyFill="1" applyBorder="1" applyAlignment="1">
      <alignment/>
    </xf>
    <xf numFmtId="0" fontId="75" fillId="0" borderId="13" xfId="0" applyFont="1" applyBorder="1" applyAlignment="1">
      <alignment wrapText="1"/>
    </xf>
    <xf numFmtId="4" fontId="75" fillId="35" borderId="13" xfId="0" applyNumberFormat="1" applyFont="1" applyFill="1" applyBorder="1" applyAlignment="1">
      <alignment/>
    </xf>
    <xf numFmtId="4" fontId="66" fillId="38" borderId="13" xfId="0" applyNumberFormat="1" applyFont="1" applyFill="1" applyBorder="1" applyAlignment="1">
      <alignment/>
    </xf>
    <xf numFmtId="0" fontId="75" fillId="33" borderId="13" xfId="0" applyFont="1" applyFill="1" applyBorder="1" applyAlignment="1">
      <alignment wrapText="1"/>
    </xf>
    <xf numFmtId="4" fontId="76" fillId="35" borderId="13" xfId="0" applyNumberFormat="1" applyFont="1" applyFill="1" applyBorder="1" applyAlignment="1">
      <alignment/>
    </xf>
    <xf numFmtId="0" fontId="75" fillId="33" borderId="13" xfId="0" applyFont="1" applyFill="1" applyBorder="1" applyAlignment="1">
      <alignment/>
    </xf>
    <xf numFmtId="4" fontId="12" fillId="33" borderId="13" xfId="0" applyNumberFormat="1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75" fillId="33" borderId="11" xfId="0" applyFont="1" applyFill="1" applyBorder="1" applyAlignment="1">
      <alignment wrapText="1"/>
    </xf>
    <xf numFmtId="0" fontId="77" fillId="33" borderId="11" xfId="0" applyFont="1" applyFill="1" applyBorder="1" applyAlignment="1">
      <alignment wrapText="1"/>
    </xf>
    <xf numFmtId="0" fontId="78" fillId="33" borderId="11" xfId="0" applyFont="1" applyFill="1" applyBorder="1" applyAlignment="1">
      <alignment wrapText="1"/>
    </xf>
    <xf numFmtId="0" fontId="78" fillId="33" borderId="11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0" fontId="78" fillId="0" borderId="13" xfId="0" applyFont="1" applyBorder="1" applyAlignment="1">
      <alignment/>
    </xf>
    <xf numFmtId="0" fontId="78" fillId="0" borderId="0" xfId="0" applyFont="1" applyAlignment="1">
      <alignment/>
    </xf>
    <xf numFmtId="0" fontId="72" fillId="33" borderId="11" xfId="0" applyFont="1" applyFill="1" applyBorder="1" applyAlignment="1">
      <alignment/>
    </xf>
    <xf numFmtId="0" fontId="79" fillId="33" borderId="11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left" wrapText="1"/>
    </xf>
    <xf numFmtId="4" fontId="15" fillId="0" borderId="21" xfId="53" applyNumberFormat="1" applyFont="1" applyBorder="1" applyAlignment="1">
      <alignment horizontal="right" vertical="top" wrapText="1"/>
      <protection/>
    </xf>
    <xf numFmtId="4" fontId="15" fillId="33" borderId="13" xfId="0" applyNumberFormat="1" applyFont="1" applyFill="1" applyBorder="1" applyAlignment="1">
      <alignment/>
    </xf>
    <xf numFmtId="4" fontId="15" fillId="33" borderId="22" xfId="53" applyNumberFormat="1" applyFont="1" applyFill="1" applyBorder="1" applyAlignment="1">
      <alignment horizontal="right" vertical="top" wrapText="1"/>
      <protection/>
    </xf>
    <xf numFmtId="4" fontId="15" fillId="33" borderId="12" xfId="0" applyNumberFormat="1" applyFont="1" applyFill="1" applyBorder="1" applyAlignment="1">
      <alignment/>
    </xf>
    <xf numFmtId="4" fontId="15" fillId="33" borderId="23" xfId="0" applyNumberFormat="1" applyFont="1" applyFill="1" applyBorder="1" applyAlignment="1">
      <alignment/>
    </xf>
    <xf numFmtId="0" fontId="79" fillId="36" borderId="11" xfId="0" applyFont="1" applyFill="1" applyBorder="1" applyAlignment="1">
      <alignment horizontal="center"/>
    </xf>
    <xf numFmtId="0" fontId="79" fillId="36" borderId="11" xfId="0" applyFont="1" applyFill="1" applyBorder="1" applyAlignment="1">
      <alignment/>
    </xf>
    <xf numFmtId="4" fontId="15" fillId="36" borderId="12" xfId="0" applyNumberFormat="1" applyFont="1" applyFill="1" applyBorder="1" applyAlignment="1">
      <alignment/>
    </xf>
    <xf numFmtId="2" fontId="15" fillId="36" borderId="13" xfId="0" applyNumberFormat="1" applyFont="1" applyFill="1" applyBorder="1" applyAlignment="1">
      <alignment/>
    </xf>
    <xf numFmtId="0" fontId="32" fillId="34" borderId="11" xfId="0" applyFont="1" applyFill="1" applyBorder="1" applyAlignment="1">
      <alignment/>
    </xf>
    <xf numFmtId="0" fontId="32" fillId="34" borderId="11" xfId="0" applyFont="1" applyFill="1" applyBorder="1" applyAlignment="1">
      <alignment wrapText="1"/>
    </xf>
    <xf numFmtId="0" fontId="33" fillId="34" borderId="11" xfId="0" applyFont="1" applyFill="1" applyBorder="1" applyAlignment="1">
      <alignment/>
    </xf>
    <xf numFmtId="4" fontId="76" fillId="38" borderId="13" xfId="0" applyNumberFormat="1" applyFont="1" applyFill="1" applyBorder="1" applyAlignment="1">
      <alignment/>
    </xf>
    <xf numFmtId="4" fontId="76" fillId="35" borderId="13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3" xfId="0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80" fillId="0" borderId="25" xfId="0" applyFont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left"/>
    </xf>
    <xf numFmtId="0" fontId="71" fillId="33" borderId="13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31.12.2019" xfId="52"/>
    <cellStyle name="Обычный_31.12.202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3"/>
  <sheetViews>
    <sheetView tabSelected="1" zoomScalePageLayoutView="0" workbookViewId="0" topLeftCell="A1">
      <selection activeCell="A189" sqref="A189"/>
    </sheetView>
  </sheetViews>
  <sheetFormatPr defaultColWidth="9.140625" defaultRowHeight="15"/>
  <cols>
    <col min="2" max="2" width="47.8515625" style="0" customWidth="1"/>
    <col min="3" max="3" width="17.00390625" style="0" customWidth="1"/>
    <col min="4" max="4" width="22.28125" style="0" customWidth="1"/>
    <col min="5" max="5" width="23.8515625" style="0" customWidth="1"/>
    <col min="6" max="6" width="39.8515625" style="17" customWidth="1"/>
    <col min="7" max="7" width="5.8515625" style="0" customWidth="1"/>
    <col min="8" max="9" width="10.57421875" style="0" customWidth="1"/>
  </cols>
  <sheetData>
    <row r="1" spans="1:6" ht="50.25" customHeight="1">
      <c r="A1" s="131" t="s">
        <v>109</v>
      </c>
      <c r="B1" s="131"/>
      <c r="C1" s="131"/>
      <c r="D1" s="132"/>
      <c r="E1" s="132"/>
      <c r="F1" s="132"/>
    </row>
    <row r="2" spans="1:6" ht="15">
      <c r="A2" s="133" t="s">
        <v>46</v>
      </c>
      <c r="B2" s="134"/>
      <c r="C2" s="1"/>
      <c r="D2" s="135" t="s">
        <v>85</v>
      </c>
      <c r="E2" s="136"/>
      <c r="F2" s="136"/>
    </row>
    <row r="3" spans="1:7" ht="42.75" customHeight="1">
      <c r="A3" s="2"/>
      <c r="B3" s="2"/>
      <c r="C3" s="65" t="s">
        <v>110</v>
      </c>
      <c r="D3" s="66" t="s">
        <v>104</v>
      </c>
      <c r="E3" s="66" t="s">
        <v>105</v>
      </c>
      <c r="F3" s="38" t="s">
        <v>111</v>
      </c>
      <c r="G3" s="51">
        <f>C5+E4-E179-F5</f>
        <v>-7.275957614183426E-11</v>
      </c>
    </row>
    <row r="4" spans="1:6" ht="17.25" customHeight="1">
      <c r="A4" s="5">
        <v>1</v>
      </c>
      <c r="B4" s="31" t="s">
        <v>106</v>
      </c>
      <c r="C4" s="69">
        <v>353003.6199999992</v>
      </c>
      <c r="D4" s="70">
        <v>4583315.28</v>
      </c>
      <c r="E4" s="70">
        <v>4811797.71</v>
      </c>
      <c r="F4" s="71">
        <f>C4+D4-E4</f>
        <v>124521.18999999948</v>
      </c>
    </row>
    <row r="5" spans="1:6" ht="17.25" customHeight="1">
      <c r="A5" s="5">
        <v>2</v>
      </c>
      <c r="B5" s="31" t="s">
        <v>94</v>
      </c>
      <c r="C5" s="72">
        <v>81.50999999999476</v>
      </c>
      <c r="D5" s="73">
        <v>64264.9</v>
      </c>
      <c r="E5" s="74">
        <v>59701.74</v>
      </c>
      <c r="F5" s="71">
        <f>C5+D5-E5</f>
        <v>4644.669999999998</v>
      </c>
    </row>
    <row r="6" spans="1:6" ht="17.25" customHeight="1">
      <c r="A6" s="22"/>
      <c r="B6" s="21"/>
      <c r="C6" s="67"/>
      <c r="D6" s="68"/>
      <c r="E6" s="39"/>
      <c r="F6" s="39"/>
    </row>
    <row r="7" spans="1:7" ht="21" customHeight="1">
      <c r="A7" s="3" t="s">
        <v>1</v>
      </c>
      <c r="B7" s="6"/>
      <c r="C7" s="7"/>
      <c r="D7" s="40" t="s">
        <v>76</v>
      </c>
      <c r="E7" s="40" t="s">
        <v>0</v>
      </c>
      <c r="F7" s="40" t="s">
        <v>2</v>
      </c>
      <c r="G7" s="8"/>
    </row>
    <row r="8" spans="1:9" ht="15.75">
      <c r="A8" s="5"/>
      <c r="B8" s="9" t="s">
        <v>3</v>
      </c>
      <c r="C8" s="30"/>
      <c r="D8" s="41"/>
      <c r="E8" s="41"/>
      <c r="F8" s="41"/>
      <c r="I8" s="8"/>
    </row>
    <row r="9" spans="1:6" ht="31.5">
      <c r="A9" s="5">
        <v>1</v>
      </c>
      <c r="B9" s="107" t="s">
        <v>112</v>
      </c>
      <c r="C9" s="31"/>
      <c r="D9" s="75">
        <v>4359400</v>
      </c>
      <c r="E9" s="75">
        <v>4359400</v>
      </c>
      <c r="F9" s="76">
        <f>D9-E9</f>
        <v>0</v>
      </c>
    </row>
    <row r="10" spans="1:9" ht="31.5">
      <c r="A10" s="5">
        <v>2</v>
      </c>
      <c r="B10" s="107" t="s">
        <v>113</v>
      </c>
      <c r="C10" s="23"/>
      <c r="D10" s="75">
        <v>223768.28</v>
      </c>
      <c r="E10" s="75">
        <v>223768.28</v>
      </c>
      <c r="F10" s="76">
        <f>C10+D10-E10</f>
        <v>0</v>
      </c>
      <c r="I10" s="8"/>
    </row>
    <row r="11" spans="1:9" ht="15.75">
      <c r="A11" s="5">
        <v>3</v>
      </c>
      <c r="B11" s="107" t="s">
        <v>121</v>
      </c>
      <c r="C11" s="23"/>
      <c r="D11" s="75">
        <v>147</v>
      </c>
      <c r="E11" s="75">
        <v>147</v>
      </c>
      <c r="F11" s="76">
        <f>C11+D11-E11</f>
        <v>0</v>
      </c>
      <c r="I11" s="8"/>
    </row>
    <row r="12" spans="1:9" ht="15.75">
      <c r="A12" s="5"/>
      <c r="B12" s="107"/>
      <c r="C12" s="23"/>
      <c r="D12" s="42"/>
      <c r="E12" s="75"/>
      <c r="F12" s="76"/>
      <c r="I12" s="8"/>
    </row>
    <row r="13" spans="1:9" ht="15.75">
      <c r="A13" s="5"/>
      <c r="B13" s="10" t="s">
        <v>4</v>
      </c>
      <c r="C13" s="32"/>
      <c r="D13" s="43">
        <f>SUM(D9:D11)</f>
        <v>4583315.28</v>
      </c>
      <c r="E13" s="77">
        <f>SUM(E9:E12)</f>
        <v>4583315.28</v>
      </c>
      <c r="F13" s="76"/>
      <c r="I13" s="8"/>
    </row>
    <row r="14" spans="1:9" ht="15">
      <c r="A14" s="3" t="s">
        <v>1</v>
      </c>
      <c r="B14" s="3"/>
      <c r="C14" s="4"/>
      <c r="D14" s="44" t="s">
        <v>76</v>
      </c>
      <c r="E14" s="44" t="s">
        <v>47</v>
      </c>
      <c r="F14" s="40" t="s">
        <v>2</v>
      </c>
      <c r="I14" s="8"/>
    </row>
    <row r="15" spans="1:9" ht="15.75">
      <c r="A15" s="5"/>
      <c r="B15" s="9" t="s">
        <v>5</v>
      </c>
      <c r="C15" s="30"/>
      <c r="D15" s="45"/>
      <c r="E15" s="45"/>
      <c r="F15" s="46"/>
      <c r="I15" s="8"/>
    </row>
    <row r="16" spans="1:12" ht="18.75">
      <c r="A16" s="27" t="s">
        <v>50</v>
      </c>
      <c r="B16" s="126" t="s">
        <v>6</v>
      </c>
      <c r="C16" s="19"/>
      <c r="D16" s="78">
        <v>1766154.4100000001</v>
      </c>
      <c r="E16" s="78">
        <f>SUM(E17:E28)</f>
        <v>1766154.4100000001</v>
      </c>
      <c r="F16" s="78">
        <f>D16-E16</f>
        <v>0</v>
      </c>
      <c r="L16" s="11"/>
    </row>
    <row r="17" spans="1:8" ht="18.75" hidden="1">
      <c r="A17" s="26"/>
      <c r="B17" s="110" t="s">
        <v>7</v>
      </c>
      <c r="C17" s="24"/>
      <c r="D17" s="79">
        <v>169455.03</v>
      </c>
      <c r="E17" s="79">
        <v>169455.03</v>
      </c>
      <c r="F17" s="80"/>
      <c r="H17" s="8"/>
    </row>
    <row r="18" spans="1:6" ht="18.75" hidden="1">
      <c r="A18" s="26"/>
      <c r="B18" s="110" t="s">
        <v>8</v>
      </c>
      <c r="C18" s="24"/>
      <c r="D18" s="79">
        <v>162849.58</v>
      </c>
      <c r="E18" s="79">
        <f>161037.08+1812.5</f>
        <v>162849.58</v>
      </c>
      <c r="F18" s="80"/>
    </row>
    <row r="19" spans="1:6" ht="18.75" hidden="1">
      <c r="A19" s="26"/>
      <c r="B19" s="110" t="s">
        <v>9</v>
      </c>
      <c r="C19" s="24"/>
      <c r="D19" s="79">
        <v>139228.79</v>
      </c>
      <c r="E19" s="79">
        <f>132280.29+6948.5</f>
        <v>139228.79</v>
      </c>
      <c r="F19" s="80"/>
    </row>
    <row r="20" spans="1:9" ht="18.75" hidden="1">
      <c r="A20" s="26"/>
      <c r="B20" s="110" t="s">
        <v>10</v>
      </c>
      <c r="C20" s="24"/>
      <c r="D20" s="79">
        <v>148357</v>
      </c>
      <c r="E20" s="79">
        <v>148357</v>
      </c>
      <c r="F20" s="80"/>
      <c r="I20" s="8"/>
    </row>
    <row r="21" spans="1:8" ht="18.75" hidden="1">
      <c r="A21" s="26"/>
      <c r="B21" s="110" t="s">
        <v>11</v>
      </c>
      <c r="C21" s="24"/>
      <c r="D21" s="79">
        <v>176791.2</v>
      </c>
      <c r="E21" s="79">
        <v>176791.2</v>
      </c>
      <c r="F21" s="81"/>
      <c r="H21" s="8"/>
    </row>
    <row r="22" spans="1:6" ht="18.75" hidden="1">
      <c r="A22" s="26"/>
      <c r="B22" s="110" t="s">
        <v>12</v>
      </c>
      <c r="C22" s="24"/>
      <c r="D22" s="79">
        <v>138754.12</v>
      </c>
      <c r="E22" s="79">
        <v>138754.12</v>
      </c>
      <c r="F22" s="81"/>
    </row>
    <row r="23" spans="1:9" ht="18.75" hidden="1">
      <c r="A23" s="26"/>
      <c r="B23" s="110" t="s">
        <v>13</v>
      </c>
      <c r="C23" s="24"/>
      <c r="D23" s="79">
        <v>173690.12</v>
      </c>
      <c r="E23" s="79">
        <v>173690.12</v>
      </c>
      <c r="F23" s="81"/>
      <c r="I23" s="8"/>
    </row>
    <row r="24" spans="1:6" ht="18.75" hidden="1">
      <c r="A24" s="26"/>
      <c r="B24" s="110" t="s">
        <v>14</v>
      </c>
      <c r="C24" s="24"/>
      <c r="D24" s="79">
        <v>141164.02</v>
      </c>
      <c r="E24" s="79">
        <v>141164.02</v>
      </c>
      <c r="F24" s="81"/>
    </row>
    <row r="25" spans="1:6" ht="18.75" hidden="1">
      <c r="A25" s="26"/>
      <c r="B25" s="110" t="s">
        <v>15</v>
      </c>
      <c r="C25" s="24"/>
      <c r="D25" s="79">
        <v>172570.31</v>
      </c>
      <c r="E25" s="79">
        <v>172570.31</v>
      </c>
      <c r="F25" s="81"/>
    </row>
    <row r="26" spans="1:7" ht="18.75" hidden="1">
      <c r="A26" s="26"/>
      <c r="B26" s="110" t="s">
        <v>16</v>
      </c>
      <c r="C26" s="24"/>
      <c r="D26" s="79">
        <v>117060.32</v>
      </c>
      <c r="E26" s="79">
        <v>117060.32</v>
      </c>
      <c r="F26" s="81"/>
      <c r="G26" s="11"/>
    </row>
    <row r="27" spans="1:7" ht="18.75" hidden="1">
      <c r="A27" s="26"/>
      <c r="B27" s="110" t="s">
        <v>17</v>
      </c>
      <c r="C27" s="24"/>
      <c r="D27" s="79">
        <v>127545.72</v>
      </c>
      <c r="E27" s="79">
        <v>127545.72</v>
      </c>
      <c r="F27" s="81"/>
      <c r="G27" s="11"/>
    </row>
    <row r="28" spans="1:7" ht="18.75" hidden="1">
      <c r="A28" s="26"/>
      <c r="B28" s="110" t="s">
        <v>21</v>
      </c>
      <c r="C28" s="24"/>
      <c r="D28" s="79">
        <v>98688.2</v>
      </c>
      <c r="E28" s="79">
        <f>98786.2-98</f>
        <v>98688.2</v>
      </c>
      <c r="F28" s="81"/>
      <c r="G28" s="11"/>
    </row>
    <row r="29" spans="1:8" ht="18.75">
      <c r="A29" s="27" t="s">
        <v>51</v>
      </c>
      <c r="B29" s="126" t="s">
        <v>18</v>
      </c>
      <c r="C29" s="19"/>
      <c r="D29" s="78">
        <v>64493</v>
      </c>
      <c r="E29" s="78">
        <f>SUM(E30:E41)</f>
        <v>64493</v>
      </c>
      <c r="F29" s="78">
        <f>D29-E29</f>
        <v>0</v>
      </c>
      <c r="G29" s="11"/>
      <c r="H29" s="8"/>
    </row>
    <row r="30" spans="1:7" ht="18.75" hidden="1">
      <c r="A30" s="26"/>
      <c r="B30" s="110" t="s">
        <v>7</v>
      </c>
      <c r="C30" s="33"/>
      <c r="D30" s="79"/>
      <c r="E30" s="79"/>
      <c r="F30" s="82"/>
      <c r="G30" s="11"/>
    </row>
    <row r="31" spans="1:6" ht="18.75" hidden="1">
      <c r="A31" s="26"/>
      <c r="B31" s="110" t="s">
        <v>8</v>
      </c>
      <c r="C31" s="24"/>
      <c r="D31" s="79"/>
      <c r="E31" s="79"/>
      <c r="F31" s="82"/>
    </row>
    <row r="32" spans="1:8" ht="18.75" hidden="1">
      <c r="A32" s="26"/>
      <c r="B32" s="110" t="s">
        <v>9</v>
      </c>
      <c r="C32" s="24"/>
      <c r="D32" s="83"/>
      <c r="E32" s="83"/>
      <c r="F32" s="82"/>
      <c r="H32" s="8"/>
    </row>
    <row r="33" spans="1:6" ht="18.75" hidden="1">
      <c r="A33" s="26"/>
      <c r="B33" s="110" t="s">
        <v>10</v>
      </c>
      <c r="C33" s="24"/>
      <c r="D33" s="83"/>
      <c r="E33" s="83"/>
      <c r="F33" s="82"/>
    </row>
    <row r="34" spans="1:6" ht="18.75" hidden="1">
      <c r="A34" s="26"/>
      <c r="B34" s="110" t="s">
        <v>11</v>
      </c>
      <c r="C34" s="24"/>
      <c r="D34" s="79"/>
      <c r="E34" s="79"/>
      <c r="F34" s="82"/>
    </row>
    <row r="35" spans="1:8" ht="18.75" hidden="1">
      <c r="A35" s="26"/>
      <c r="B35" s="110" t="s">
        <v>12</v>
      </c>
      <c r="C35" s="24"/>
      <c r="D35" s="83"/>
      <c r="E35" s="83"/>
      <c r="F35" s="82"/>
      <c r="H35" s="8"/>
    </row>
    <row r="36" spans="1:8" ht="18.75" hidden="1">
      <c r="A36" s="26"/>
      <c r="B36" s="110" t="s">
        <v>13</v>
      </c>
      <c r="C36" s="33"/>
      <c r="D36" s="83"/>
      <c r="E36" s="83"/>
      <c r="F36" s="82"/>
      <c r="H36" s="8"/>
    </row>
    <row r="37" spans="1:8" ht="18.75" hidden="1">
      <c r="A37" s="26"/>
      <c r="B37" s="110"/>
      <c r="C37" s="24"/>
      <c r="D37" s="83">
        <v>15420</v>
      </c>
      <c r="E37" s="83">
        <v>15420</v>
      </c>
      <c r="F37" s="82"/>
      <c r="H37" s="8"/>
    </row>
    <row r="38" spans="1:8" ht="18.75" hidden="1">
      <c r="A38" s="26"/>
      <c r="B38" s="110"/>
      <c r="C38" s="24"/>
      <c r="D38" s="79">
        <v>13955</v>
      </c>
      <c r="E38" s="79">
        <v>13955</v>
      </c>
      <c r="F38" s="82"/>
      <c r="H38" s="8"/>
    </row>
    <row r="39" spans="1:8" ht="18.75" hidden="1">
      <c r="A39" s="26"/>
      <c r="B39" s="110"/>
      <c r="C39" s="24"/>
      <c r="D39" s="79">
        <v>13167</v>
      </c>
      <c r="E39" s="79">
        <v>13167</v>
      </c>
      <c r="F39" s="82"/>
      <c r="H39" s="8"/>
    </row>
    <row r="40" spans="1:9" ht="18.75" hidden="1">
      <c r="A40" s="26"/>
      <c r="B40" s="110"/>
      <c r="C40" s="24"/>
      <c r="D40" s="79">
        <v>21951</v>
      </c>
      <c r="E40" s="79">
        <v>21951</v>
      </c>
      <c r="F40" s="82"/>
      <c r="I40" s="8"/>
    </row>
    <row r="41" spans="1:6" ht="18.75" hidden="1">
      <c r="A41" s="26"/>
      <c r="B41" s="110"/>
      <c r="C41" s="24"/>
      <c r="D41" s="79"/>
      <c r="E41" s="79"/>
      <c r="F41" s="82"/>
    </row>
    <row r="42" spans="1:6" ht="37.5">
      <c r="A42" s="27" t="s">
        <v>52</v>
      </c>
      <c r="B42" s="127" t="s">
        <v>20</v>
      </c>
      <c r="C42" s="34"/>
      <c r="D42" s="78">
        <v>179643</v>
      </c>
      <c r="E42" s="78">
        <f>SUM(E43:E54)</f>
        <v>179643</v>
      </c>
      <c r="F42" s="78">
        <f>D42-E42</f>
        <v>0</v>
      </c>
    </row>
    <row r="43" spans="1:6" ht="18.75" hidden="1">
      <c r="A43" s="13"/>
      <c r="B43" s="110" t="s">
        <v>7</v>
      </c>
      <c r="C43" s="33"/>
      <c r="D43" s="79">
        <v>21988</v>
      </c>
      <c r="E43" s="79">
        <v>21988</v>
      </c>
      <c r="F43" s="78">
        <f aca="true" t="shared" si="0" ref="F43:F55">D43-E43</f>
        <v>0</v>
      </c>
    </row>
    <row r="44" spans="1:6" ht="18.75" hidden="1">
      <c r="A44" s="13"/>
      <c r="B44" s="110" t="s">
        <v>8</v>
      </c>
      <c r="C44" s="24"/>
      <c r="D44" s="79"/>
      <c r="E44" s="79"/>
      <c r="F44" s="78">
        <f t="shared" si="0"/>
        <v>0</v>
      </c>
    </row>
    <row r="45" spans="1:6" ht="18.75" hidden="1">
      <c r="A45" s="13"/>
      <c r="B45" s="110" t="s">
        <v>9</v>
      </c>
      <c r="C45" s="24"/>
      <c r="D45" s="83">
        <v>15204</v>
      </c>
      <c r="E45" s="83">
        <v>15204</v>
      </c>
      <c r="F45" s="78">
        <f t="shared" si="0"/>
        <v>0</v>
      </c>
    </row>
    <row r="46" spans="1:6" ht="18.75" hidden="1">
      <c r="A46" s="13"/>
      <c r="B46" s="110" t="s">
        <v>10</v>
      </c>
      <c r="C46" s="24"/>
      <c r="D46" s="83"/>
      <c r="E46" s="83"/>
      <c r="F46" s="78">
        <f t="shared" si="0"/>
        <v>0</v>
      </c>
    </row>
    <row r="47" spans="1:6" ht="18.75" hidden="1">
      <c r="A47" s="13"/>
      <c r="B47" s="110" t="s">
        <v>11</v>
      </c>
      <c r="C47" s="24"/>
      <c r="D47" s="79"/>
      <c r="E47" s="79"/>
      <c r="F47" s="78">
        <f t="shared" si="0"/>
        <v>0</v>
      </c>
    </row>
    <row r="48" spans="1:6" ht="18.75" hidden="1">
      <c r="A48" s="13"/>
      <c r="B48" s="110" t="s">
        <v>12</v>
      </c>
      <c r="C48" s="24"/>
      <c r="D48" s="83">
        <v>16852</v>
      </c>
      <c r="E48" s="83">
        <v>16852</v>
      </c>
      <c r="F48" s="78">
        <f t="shared" si="0"/>
        <v>0</v>
      </c>
    </row>
    <row r="49" spans="1:6" ht="18.75" hidden="1">
      <c r="A49" s="13"/>
      <c r="B49" s="110" t="s">
        <v>13</v>
      </c>
      <c r="C49" s="33"/>
      <c r="D49" s="83">
        <v>10914</v>
      </c>
      <c r="E49" s="83">
        <v>10914</v>
      </c>
      <c r="F49" s="78">
        <f t="shared" si="0"/>
        <v>0</v>
      </c>
    </row>
    <row r="50" spans="1:6" ht="18.75" hidden="1">
      <c r="A50" s="13"/>
      <c r="B50" s="110" t="s">
        <v>14</v>
      </c>
      <c r="C50" s="24"/>
      <c r="D50" s="79">
        <v>9200</v>
      </c>
      <c r="E50" s="79">
        <v>9200</v>
      </c>
      <c r="F50" s="78">
        <f t="shared" si="0"/>
        <v>0</v>
      </c>
    </row>
    <row r="51" spans="1:6" ht="18.75" hidden="1">
      <c r="A51" s="13"/>
      <c r="B51" s="110" t="s">
        <v>15</v>
      </c>
      <c r="C51" s="24"/>
      <c r="D51" s="79">
        <v>19541</v>
      </c>
      <c r="E51" s="79">
        <v>19541</v>
      </c>
      <c r="F51" s="78">
        <f t="shared" si="0"/>
        <v>0</v>
      </c>
    </row>
    <row r="52" spans="1:6" ht="18.75" hidden="1">
      <c r="A52" s="13"/>
      <c r="B52" s="110" t="s">
        <v>16</v>
      </c>
      <c r="C52" s="24"/>
      <c r="D52" s="79">
        <v>16030</v>
      </c>
      <c r="E52" s="79">
        <v>16030</v>
      </c>
      <c r="F52" s="78">
        <f t="shared" si="0"/>
        <v>0</v>
      </c>
    </row>
    <row r="53" spans="1:6" ht="18.75" hidden="1">
      <c r="A53" s="13"/>
      <c r="B53" s="110" t="s">
        <v>17</v>
      </c>
      <c r="C53" s="24"/>
      <c r="D53" s="79">
        <v>16030</v>
      </c>
      <c r="E53" s="79">
        <v>16030</v>
      </c>
      <c r="F53" s="78">
        <f t="shared" si="0"/>
        <v>0</v>
      </c>
    </row>
    <row r="54" spans="1:6" ht="18.75" hidden="1">
      <c r="A54" s="13"/>
      <c r="B54" s="110" t="s">
        <v>19</v>
      </c>
      <c r="C54" s="24"/>
      <c r="D54" s="79">
        <v>53884</v>
      </c>
      <c r="E54" s="79">
        <v>53884</v>
      </c>
      <c r="F54" s="78">
        <f t="shared" si="0"/>
        <v>0</v>
      </c>
    </row>
    <row r="55" spans="1:6" ht="18.75">
      <c r="A55" s="26" t="s">
        <v>53</v>
      </c>
      <c r="B55" s="114" t="s">
        <v>28</v>
      </c>
      <c r="C55" s="24"/>
      <c r="D55" s="78">
        <v>0</v>
      </c>
      <c r="E55" s="78">
        <f>SUM(E56:E65)</f>
        <v>0</v>
      </c>
      <c r="F55" s="78">
        <f t="shared" si="0"/>
        <v>0</v>
      </c>
    </row>
    <row r="56" spans="1:6" ht="18.75" hidden="1">
      <c r="A56" s="13"/>
      <c r="B56" s="110" t="s">
        <v>7</v>
      </c>
      <c r="C56" s="24"/>
      <c r="D56" s="79"/>
      <c r="E56" s="79"/>
      <c r="F56" s="84"/>
    </row>
    <row r="57" spans="1:6" ht="18.75" hidden="1">
      <c r="A57" s="13"/>
      <c r="B57" s="110" t="s">
        <v>8</v>
      </c>
      <c r="C57" s="24"/>
      <c r="D57" s="79"/>
      <c r="E57" s="79"/>
      <c r="F57" s="84"/>
    </row>
    <row r="58" spans="1:6" ht="18.75" hidden="1">
      <c r="A58" s="13"/>
      <c r="B58" s="110" t="s">
        <v>9</v>
      </c>
      <c r="C58" s="24"/>
      <c r="D58" s="79"/>
      <c r="E58" s="79"/>
      <c r="F58" s="84"/>
    </row>
    <row r="59" spans="1:6" ht="18.75" hidden="1">
      <c r="A59" s="13"/>
      <c r="B59" s="110" t="s">
        <v>10</v>
      </c>
      <c r="C59" s="24"/>
      <c r="D59" s="79"/>
      <c r="E59" s="79"/>
      <c r="F59" s="84"/>
    </row>
    <row r="60" spans="1:6" ht="18.75" hidden="1">
      <c r="A60" s="13"/>
      <c r="B60" s="110" t="s">
        <v>11</v>
      </c>
      <c r="C60" s="24"/>
      <c r="D60" s="79"/>
      <c r="E60" s="79"/>
      <c r="F60" s="84"/>
    </row>
    <row r="61" spans="1:6" ht="18.75" hidden="1">
      <c r="A61" s="13"/>
      <c r="B61" s="110" t="s">
        <v>12</v>
      </c>
      <c r="C61" s="24"/>
      <c r="D61" s="79"/>
      <c r="E61" s="79"/>
      <c r="F61" s="84"/>
    </row>
    <row r="62" spans="1:6" ht="18.75" hidden="1">
      <c r="A62" s="13"/>
      <c r="B62" s="110" t="s">
        <v>13</v>
      </c>
      <c r="C62" s="24"/>
      <c r="D62" s="79"/>
      <c r="E62" s="79"/>
      <c r="F62" s="84"/>
    </row>
    <row r="63" spans="1:6" ht="18.75" hidden="1">
      <c r="A63" s="13"/>
      <c r="B63" s="110" t="s">
        <v>14</v>
      </c>
      <c r="C63" s="24"/>
      <c r="D63" s="79"/>
      <c r="E63" s="79"/>
      <c r="F63" s="84"/>
    </row>
    <row r="64" spans="1:6" ht="18.75" hidden="1">
      <c r="A64" s="13"/>
      <c r="B64" s="110" t="s">
        <v>15</v>
      </c>
      <c r="C64" s="24"/>
      <c r="D64" s="79"/>
      <c r="E64" s="79"/>
      <c r="F64" s="84"/>
    </row>
    <row r="65" spans="1:6" ht="18.75" hidden="1">
      <c r="A65" s="13"/>
      <c r="B65" s="110" t="s">
        <v>12</v>
      </c>
      <c r="C65" s="24"/>
      <c r="D65" s="79"/>
      <c r="E65" s="79"/>
      <c r="F65" s="84"/>
    </row>
    <row r="66" spans="1:6" ht="18.75">
      <c r="A66" s="27" t="s">
        <v>29</v>
      </c>
      <c r="B66" s="126" t="s">
        <v>77</v>
      </c>
      <c r="C66" s="19"/>
      <c r="D66" s="78">
        <v>600732.5599999999</v>
      </c>
      <c r="E66" s="78">
        <f>SUM(E67:E78)</f>
        <v>600732.5599999999</v>
      </c>
      <c r="F66" s="78">
        <f>D66-E66</f>
        <v>0</v>
      </c>
    </row>
    <row r="67" spans="1:6" ht="18.75" hidden="1">
      <c r="A67" s="13"/>
      <c r="B67" s="110" t="s">
        <v>7</v>
      </c>
      <c r="C67" s="33"/>
      <c r="D67" s="79">
        <v>57134.2</v>
      </c>
      <c r="E67" s="79">
        <f>338.92+4914.2+9763.61+42117.47</f>
        <v>57134.2</v>
      </c>
      <c r="F67" s="85"/>
    </row>
    <row r="68" spans="1:6" ht="18.75" hidden="1">
      <c r="A68" s="13"/>
      <c r="B68" s="110" t="s">
        <v>8</v>
      </c>
      <c r="C68" s="24"/>
      <c r="D68" s="79">
        <v>49180.27</v>
      </c>
      <c r="E68" s="79">
        <f>325.7+4722.6+8305.27+35826.7</f>
        <v>49180.27</v>
      </c>
      <c r="F68" s="85"/>
    </row>
    <row r="69" spans="1:6" ht="18.75" hidden="1">
      <c r="A69" s="13"/>
      <c r="B69" s="110" t="s">
        <v>9</v>
      </c>
      <c r="C69" s="24"/>
      <c r="D69" s="83">
        <v>50694.17999999999</v>
      </c>
      <c r="E69" s="83">
        <f>308.44+4472.33+8640.53+37272.88</f>
        <v>50694.17999999999</v>
      </c>
      <c r="F69" s="85"/>
    </row>
    <row r="70" spans="1:6" ht="18.75" hidden="1">
      <c r="A70" s="13"/>
      <c r="B70" s="110" t="s">
        <v>10</v>
      </c>
      <c r="C70" s="24"/>
      <c r="D70" s="83">
        <v>44803.82</v>
      </c>
      <c r="E70" s="83">
        <f>296.72+4302.35+7566.21+32638.54</f>
        <v>44803.82</v>
      </c>
      <c r="F70" s="85"/>
    </row>
    <row r="71" spans="1:6" ht="18.75" hidden="1">
      <c r="A71" s="13"/>
      <c r="B71" s="110" t="s">
        <v>11</v>
      </c>
      <c r="C71" s="24"/>
      <c r="D71" s="79">
        <v>57605.35</v>
      </c>
      <c r="E71" s="79">
        <f>381.49+41964.17+5531.65+9728.04</f>
        <v>57605.35</v>
      </c>
      <c r="F71" s="85"/>
    </row>
    <row r="72" spans="1:6" ht="18.75" hidden="1">
      <c r="A72" s="13"/>
      <c r="B72" s="110" t="s">
        <v>12</v>
      </c>
      <c r="C72" s="24"/>
      <c r="D72" s="83">
        <v>46470.63</v>
      </c>
      <c r="E72" s="83">
        <f>277.51+4023.86+7935.92+34233.34</f>
        <v>46470.63</v>
      </c>
      <c r="F72" s="85"/>
    </row>
    <row r="73" spans="1:6" ht="18.75" hidden="1">
      <c r="A73" s="13"/>
      <c r="B73" s="110" t="s">
        <v>13</v>
      </c>
      <c r="C73" s="33"/>
      <c r="D73" s="79">
        <v>58691.75</v>
      </c>
      <c r="E73" s="79">
        <f>43002.04+5351.96+9968.66+369.09</f>
        <v>58691.75</v>
      </c>
      <c r="F73" s="85"/>
    </row>
    <row r="74" spans="1:6" ht="18.75" hidden="1">
      <c r="A74" s="13"/>
      <c r="B74" s="110" t="s">
        <v>14</v>
      </c>
      <c r="C74" s="24"/>
      <c r="D74" s="79">
        <v>45821.53999999999</v>
      </c>
      <c r="E74" s="79">
        <f>7786.24+286.94+4160.66+33587.7</f>
        <v>45821.53999999999</v>
      </c>
      <c r="F74" s="85"/>
    </row>
    <row r="75" spans="1:6" ht="18.75" hidden="1">
      <c r="A75" s="13"/>
      <c r="B75" s="110" t="s">
        <v>15</v>
      </c>
      <c r="C75" s="24"/>
      <c r="D75" s="79">
        <v>57411.86</v>
      </c>
      <c r="E75" s="79">
        <f>42264.49+9797.68+345.15+5004.54</f>
        <v>57411.86</v>
      </c>
      <c r="F75" s="85"/>
    </row>
    <row r="76" spans="1:6" ht="18.75" hidden="1">
      <c r="A76" s="13"/>
      <c r="B76" s="110" t="s">
        <v>16</v>
      </c>
      <c r="C76" s="24"/>
      <c r="D76" s="83">
        <v>38990.81</v>
      </c>
      <c r="E76" s="83">
        <f>6668.45+28765.9+3327+229.46</f>
        <v>38990.81</v>
      </c>
      <c r="F76" s="85"/>
    </row>
    <row r="77" spans="1:6" ht="18.75" hidden="1">
      <c r="A77" s="13"/>
      <c r="B77" s="110" t="s">
        <v>17</v>
      </c>
      <c r="C77" s="24"/>
      <c r="D77" s="83">
        <v>42862.95</v>
      </c>
      <c r="E77" s="83">
        <f>3698.82+255.1+7322.37+31586.66</f>
        <v>42862.95</v>
      </c>
      <c r="F77" s="85"/>
    </row>
    <row r="78" spans="1:6" ht="18.75" hidden="1">
      <c r="A78" s="13"/>
      <c r="B78" s="110" t="s">
        <v>21</v>
      </c>
      <c r="C78" s="24"/>
      <c r="D78" s="83">
        <v>51065.200000000004</v>
      </c>
      <c r="E78" s="83">
        <f>241.48+3501.38+38416.66+8905.68</f>
        <v>51065.200000000004</v>
      </c>
      <c r="F78" s="85"/>
    </row>
    <row r="79" spans="1:6" ht="18.75">
      <c r="A79" s="27" t="s">
        <v>35</v>
      </c>
      <c r="B79" s="126" t="s">
        <v>22</v>
      </c>
      <c r="C79" s="19"/>
      <c r="D79" s="78">
        <v>52718</v>
      </c>
      <c r="E79" s="78">
        <f>SUM(E80:E83)</f>
        <v>52718</v>
      </c>
      <c r="F79" s="78">
        <f>D79-E79</f>
        <v>0</v>
      </c>
    </row>
    <row r="80" spans="1:6" ht="18.75" hidden="1">
      <c r="A80" s="27"/>
      <c r="B80" s="128" t="s">
        <v>99</v>
      </c>
      <c r="C80" s="19"/>
      <c r="D80" s="83">
        <v>45509</v>
      </c>
      <c r="E80" s="83">
        <v>45509</v>
      </c>
      <c r="F80" s="78"/>
    </row>
    <row r="81" spans="1:6" ht="18.75" hidden="1">
      <c r="A81" s="26"/>
      <c r="B81" s="110" t="s">
        <v>23</v>
      </c>
      <c r="C81" s="24"/>
      <c r="D81" s="83">
        <v>7209</v>
      </c>
      <c r="E81" s="83">
        <v>7209</v>
      </c>
      <c r="F81" s="85"/>
    </row>
    <row r="82" spans="1:6" ht="18.75" hidden="1">
      <c r="A82" s="26"/>
      <c r="B82" s="110" t="s">
        <v>48</v>
      </c>
      <c r="C82" s="24"/>
      <c r="D82" s="83"/>
      <c r="E82" s="83"/>
      <c r="F82" s="85"/>
    </row>
    <row r="83" spans="1:6" ht="18.75" hidden="1">
      <c r="A83" s="26"/>
      <c r="B83" s="110" t="s">
        <v>49</v>
      </c>
      <c r="C83" s="24"/>
      <c r="D83" s="83"/>
      <c r="E83" s="83"/>
      <c r="F83" s="85"/>
    </row>
    <row r="84" spans="1:6" ht="18.75">
      <c r="A84" s="27" t="s">
        <v>54</v>
      </c>
      <c r="B84" s="126" t="s">
        <v>24</v>
      </c>
      <c r="C84" s="19"/>
      <c r="D84" s="78">
        <v>39234.36</v>
      </c>
      <c r="E84" s="78">
        <v>39234.36</v>
      </c>
      <c r="F84" s="78">
        <f>D84-E84</f>
        <v>0</v>
      </c>
    </row>
    <row r="85" spans="1:6" ht="18.75">
      <c r="A85" s="27" t="s">
        <v>55</v>
      </c>
      <c r="B85" s="126" t="s">
        <v>25</v>
      </c>
      <c r="C85" s="19"/>
      <c r="D85" s="86">
        <v>7108.5</v>
      </c>
      <c r="E85" s="86">
        <f>SUM(E86:E88)</f>
        <v>7108.5</v>
      </c>
      <c r="F85" s="78">
        <f>D85-E85</f>
        <v>0</v>
      </c>
    </row>
    <row r="86" spans="1:6" ht="18.75">
      <c r="A86" s="13"/>
      <c r="B86" s="114" t="s">
        <v>124</v>
      </c>
      <c r="C86" s="35"/>
      <c r="D86" s="86">
        <v>4300</v>
      </c>
      <c r="E86" s="86">
        <f>114.08+885.92+1000+300+1000+1000</f>
        <v>4300</v>
      </c>
      <c r="F86" s="83"/>
    </row>
    <row r="87" spans="1:6" ht="18.75">
      <c r="A87" s="13"/>
      <c r="B87" s="114" t="s">
        <v>123</v>
      </c>
      <c r="C87" s="35"/>
      <c r="D87" s="129">
        <v>1000</v>
      </c>
      <c r="E87" s="129">
        <v>1000</v>
      </c>
      <c r="F87" s="83"/>
    </row>
    <row r="88" spans="1:6" ht="18.75">
      <c r="A88" s="13"/>
      <c r="B88" s="114" t="s">
        <v>40</v>
      </c>
      <c r="C88" s="24"/>
      <c r="D88" s="130">
        <v>1808.5</v>
      </c>
      <c r="E88" s="130">
        <v>1808.5</v>
      </c>
      <c r="F88" s="85"/>
    </row>
    <row r="89" spans="1:6" ht="18.75">
      <c r="A89" s="27" t="s">
        <v>56</v>
      </c>
      <c r="B89" s="126" t="s">
        <v>26</v>
      </c>
      <c r="C89" s="19"/>
      <c r="D89" s="78">
        <v>54000</v>
      </c>
      <c r="E89" s="78">
        <f>6000+6000+6000+6000+6000+6000+6000+6000+6000</f>
        <v>54000</v>
      </c>
      <c r="F89" s="78">
        <f>D89-E89</f>
        <v>0</v>
      </c>
    </row>
    <row r="90" spans="1:7" ht="18.75">
      <c r="A90" s="25" t="s">
        <v>57</v>
      </c>
      <c r="B90" s="126" t="s">
        <v>102</v>
      </c>
      <c r="C90" s="19"/>
      <c r="D90" s="78">
        <v>33494.47</v>
      </c>
      <c r="E90" s="78">
        <f>SUM(E91:E102)</f>
        <v>33494.47</v>
      </c>
      <c r="F90" s="78">
        <f>D90-E90</f>
        <v>0</v>
      </c>
      <c r="G90" s="62"/>
    </row>
    <row r="91" spans="1:7" ht="18.75" hidden="1">
      <c r="A91" s="13"/>
      <c r="B91" s="110" t="s">
        <v>7</v>
      </c>
      <c r="C91" s="33"/>
      <c r="D91" s="87">
        <v>1310</v>
      </c>
      <c r="E91" s="87">
        <f>1310</f>
        <v>1310</v>
      </c>
      <c r="F91" s="88"/>
      <c r="G91" s="64"/>
    </row>
    <row r="92" spans="1:7" ht="18.75" hidden="1">
      <c r="A92" s="13"/>
      <c r="B92" s="110" t="s">
        <v>8</v>
      </c>
      <c r="C92" s="24"/>
      <c r="D92" s="89">
        <v>549.5</v>
      </c>
      <c r="E92" s="89">
        <f>549.5</f>
        <v>549.5</v>
      </c>
      <c r="F92" s="88"/>
      <c r="G92" s="64"/>
    </row>
    <row r="93" spans="1:7" ht="18.75" hidden="1">
      <c r="A93" s="13"/>
      <c r="B93" s="110" t="s">
        <v>9</v>
      </c>
      <c r="C93" s="24"/>
      <c r="D93" s="89">
        <v>293</v>
      </c>
      <c r="E93" s="89">
        <f>293</f>
        <v>293</v>
      </c>
      <c r="F93" s="88"/>
      <c r="G93" s="64"/>
    </row>
    <row r="94" spans="1:7" ht="15.75" customHeight="1" hidden="1">
      <c r="A94" s="13"/>
      <c r="B94" s="110" t="s">
        <v>10</v>
      </c>
      <c r="C94" s="24"/>
      <c r="D94" s="87"/>
      <c r="E94" s="87"/>
      <c r="F94" s="88"/>
      <c r="G94" s="64"/>
    </row>
    <row r="95" spans="1:7" ht="18" customHeight="1" hidden="1">
      <c r="A95" s="13"/>
      <c r="B95" s="110" t="s">
        <v>11</v>
      </c>
      <c r="C95" s="24"/>
      <c r="D95" s="89">
        <v>809</v>
      </c>
      <c r="E95" s="89">
        <f>809</f>
        <v>809</v>
      </c>
      <c r="F95" s="88"/>
      <c r="G95" s="64"/>
    </row>
    <row r="96" spans="1:7" ht="15.75" customHeight="1" hidden="1">
      <c r="A96" s="13"/>
      <c r="B96" s="110" t="s">
        <v>12</v>
      </c>
      <c r="C96" s="24"/>
      <c r="D96" s="87">
        <v>5692.84</v>
      </c>
      <c r="E96" s="87">
        <f>5060+632.84</f>
        <v>5692.84</v>
      </c>
      <c r="F96" s="88" t="s">
        <v>118</v>
      </c>
      <c r="G96" s="64"/>
    </row>
    <row r="97" spans="1:7" ht="20.25" customHeight="1" hidden="1">
      <c r="A97" s="13"/>
      <c r="B97" s="110" t="s">
        <v>13</v>
      </c>
      <c r="C97" s="33"/>
      <c r="D97" s="87">
        <v>9019</v>
      </c>
      <c r="E97" s="87">
        <f>3536+5068+415</f>
        <v>9019</v>
      </c>
      <c r="F97" s="88" t="s">
        <v>119</v>
      </c>
      <c r="G97" s="64"/>
    </row>
    <row r="98" spans="1:7" ht="15.75" customHeight="1" hidden="1">
      <c r="A98" s="13"/>
      <c r="B98" s="110" t="s">
        <v>14</v>
      </c>
      <c r="C98" s="24"/>
      <c r="D98" s="87">
        <v>3064</v>
      </c>
      <c r="E98" s="87">
        <f>2580+484</f>
        <v>3064</v>
      </c>
      <c r="F98" s="88" t="s">
        <v>120</v>
      </c>
      <c r="G98" s="64"/>
    </row>
    <row r="99" spans="1:7" ht="18.75" customHeight="1" hidden="1">
      <c r="A99" s="13"/>
      <c r="B99" s="110" t="s">
        <v>15</v>
      </c>
      <c r="C99" s="24"/>
      <c r="D99" s="87">
        <v>2116</v>
      </c>
      <c r="E99" s="87">
        <f>2116</f>
        <v>2116</v>
      </c>
      <c r="F99" s="88"/>
      <c r="G99" s="64"/>
    </row>
    <row r="100" spans="1:7" ht="16.5" customHeight="1" hidden="1">
      <c r="A100" s="13"/>
      <c r="B100" s="110" t="s">
        <v>16</v>
      </c>
      <c r="C100" s="24"/>
      <c r="D100" s="87">
        <v>1059.73</v>
      </c>
      <c r="E100" s="87">
        <f>1059.73</f>
        <v>1059.73</v>
      </c>
      <c r="F100" s="88"/>
      <c r="G100" s="64"/>
    </row>
    <row r="101" spans="1:7" ht="18" customHeight="1" hidden="1">
      <c r="A101" s="13"/>
      <c r="B101" s="110" t="s">
        <v>17</v>
      </c>
      <c r="C101" s="24"/>
      <c r="D101" s="87">
        <v>9581.4</v>
      </c>
      <c r="E101" s="87">
        <f>9581.4</f>
        <v>9581.4</v>
      </c>
      <c r="F101" s="88"/>
      <c r="G101" s="64"/>
    </row>
    <row r="102" spans="1:7" ht="18.75" hidden="1">
      <c r="A102" s="13"/>
      <c r="B102" s="110" t="s">
        <v>21</v>
      </c>
      <c r="C102" s="24"/>
      <c r="D102" s="87"/>
      <c r="E102" s="87"/>
      <c r="F102" s="88"/>
      <c r="G102" s="64"/>
    </row>
    <row r="103" spans="1:7" ht="18.75">
      <c r="A103" s="25" t="s">
        <v>58</v>
      </c>
      <c r="B103" s="126" t="s">
        <v>27</v>
      </c>
      <c r="C103" s="19"/>
      <c r="D103" s="90">
        <v>12893.35</v>
      </c>
      <c r="E103" s="90">
        <f>SUM(E104:E115)</f>
        <v>12893.35</v>
      </c>
      <c r="F103" s="90">
        <f>D103-E103</f>
        <v>0</v>
      </c>
      <c r="G103" s="63"/>
    </row>
    <row r="104" spans="1:7" ht="18.75" hidden="1">
      <c r="A104" s="13"/>
      <c r="B104" s="110" t="s">
        <v>7</v>
      </c>
      <c r="C104" s="33"/>
      <c r="D104" s="87"/>
      <c r="E104" s="87"/>
      <c r="F104" s="84"/>
      <c r="G104" s="11"/>
    </row>
    <row r="105" spans="1:6" ht="18.75" hidden="1">
      <c r="A105" s="13"/>
      <c r="B105" s="110" t="s">
        <v>8</v>
      </c>
      <c r="C105" s="24"/>
      <c r="D105" s="87"/>
      <c r="E105" s="87"/>
      <c r="F105" s="84"/>
    </row>
    <row r="106" spans="1:7" ht="18.75" hidden="1">
      <c r="A106" s="13"/>
      <c r="B106" s="110" t="s">
        <v>9</v>
      </c>
      <c r="C106" s="24"/>
      <c r="D106" s="89">
        <v>10559</v>
      </c>
      <c r="E106" s="89">
        <f>6500+4059</f>
        <v>10559</v>
      </c>
      <c r="F106" s="84" t="s">
        <v>115</v>
      </c>
      <c r="G106" s="11"/>
    </row>
    <row r="107" spans="1:7" ht="18.75" hidden="1">
      <c r="A107" s="13"/>
      <c r="B107" s="110" t="s">
        <v>10</v>
      </c>
      <c r="C107" s="24"/>
      <c r="D107" s="87"/>
      <c r="E107" s="87"/>
      <c r="F107" s="84"/>
      <c r="G107" s="11"/>
    </row>
    <row r="108" spans="1:6" ht="18.75" hidden="1">
      <c r="A108" s="13"/>
      <c r="B108" s="110" t="s">
        <v>11</v>
      </c>
      <c r="C108" s="24"/>
      <c r="D108" s="87">
        <v>238.5</v>
      </c>
      <c r="E108" s="87">
        <f>238.5</f>
        <v>238.5</v>
      </c>
      <c r="F108" s="84"/>
    </row>
    <row r="109" spans="1:6" ht="18.75" hidden="1">
      <c r="A109" s="13"/>
      <c r="B109" s="110" t="s">
        <v>12</v>
      </c>
      <c r="C109" s="24"/>
      <c r="D109" s="87"/>
      <c r="E109" s="87"/>
      <c r="F109" s="84"/>
    </row>
    <row r="110" spans="1:6" ht="18.75" hidden="1">
      <c r="A110" s="13"/>
      <c r="B110" s="110" t="s">
        <v>13</v>
      </c>
      <c r="C110" s="24"/>
      <c r="D110" s="87">
        <v>1400</v>
      </c>
      <c r="E110" s="87">
        <f>1400</f>
        <v>1400</v>
      </c>
      <c r="F110" s="84"/>
    </row>
    <row r="111" spans="1:6" ht="18.75" hidden="1">
      <c r="A111" s="13"/>
      <c r="B111" s="110" t="s">
        <v>14</v>
      </c>
      <c r="C111" s="33"/>
      <c r="D111" s="87">
        <v>119.98</v>
      </c>
      <c r="E111" s="87">
        <f>119.98</f>
        <v>119.98</v>
      </c>
      <c r="F111" s="88"/>
    </row>
    <row r="112" spans="1:7" ht="16.5" customHeight="1" hidden="1">
      <c r="A112" s="13"/>
      <c r="B112" s="110" t="s">
        <v>15</v>
      </c>
      <c r="C112" s="24"/>
      <c r="D112" s="87"/>
      <c r="E112" s="87"/>
      <c r="F112" s="91"/>
      <c r="G112" s="11"/>
    </row>
    <row r="113" spans="1:7" ht="18.75" hidden="1">
      <c r="A113" s="13"/>
      <c r="B113" s="110" t="s">
        <v>16</v>
      </c>
      <c r="C113" s="24"/>
      <c r="D113" s="87">
        <v>575.87</v>
      </c>
      <c r="E113" s="87">
        <f>88.77+40.97+446.13</f>
        <v>575.87</v>
      </c>
      <c r="F113" s="88"/>
      <c r="G113" s="11"/>
    </row>
    <row r="114" spans="1:7" ht="18.75" hidden="1">
      <c r="A114" s="13"/>
      <c r="B114" s="110" t="s">
        <v>17</v>
      </c>
      <c r="C114" s="24"/>
      <c r="D114" s="87"/>
      <c r="E114" s="87"/>
      <c r="F114" s="84"/>
      <c r="G114" s="11"/>
    </row>
    <row r="115" spans="1:6" ht="18.75" hidden="1">
      <c r="A115" s="13"/>
      <c r="B115" s="110" t="s">
        <v>21</v>
      </c>
      <c r="C115" s="24"/>
      <c r="D115" s="87"/>
      <c r="E115" s="87"/>
      <c r="F115" s="84"/>
    </row>
    <row r="116" spans="1:6" ht="18.75">
      <c r="A116" s="25" t="s">
        <v>59</v>
      </c>
      <c r="B116" s="126" t="s">
        <v>43</v>
      </c>
      <c r="C116" s="19"/>
      <c r="D116" s="90">
        <v>13199.19</v>
      </c>
      <c r="E116" s="90">
        <v>13199.19</v>
      </c>
      <c r="F116" s="90">
        <f aca="true" t="shared" si="1" ref="F116:F122">D116-E116</f>
        <v>0</v>
      </c>
    </row>
    <row r="117" spans="1:6" ht="18.75">
      <c r="A117" s="25" t="s">
        <v>60</v>
      </c>
      <c r="B117" s="126" t="s">
        <v>98</v>
      </c>
      <c r="C117" s="19"/>
      <c r="D117" s="90">
        <v>18000</v>
      </c>
      <c r="E117" s="90">
        <f>9000+9000</f>
        <v>18000</v>
      </c>
      <c r="F117" s="90">
        <f t="shared" si="1"/>
        <v>0</v>
      </c>
    </row>
    <row r="118" spans="1:6" ht="18.75">
      <c r="A118" s="25" t="s">
        <v>61</v>
      </c>
      <c r="B118" s="126" t="s">
        <v>44</v>
      </c>
      <c r="C118" s="19"/>
      <c r="D118" s="90">
        <v>2300</v>
      </c>
      <c r="E118" s="90">
        <v>2300</v>
      </c>
      <c r="F118" s="90">
        <f t="shared" si="1"/>
        <v>0</v>
      </c>
    </row>
    <row r="119" spans="1:6" ht="18.75">
      <c r="A119" s="26" t="s">
        <v>62</v>
      </c>
      <c r="B119" s="114" t="s">
        <v>63</v>
      </c>
      <c r="C119" s="24"/>
      <c r="D119" s="92"/>
      <c r="E119" s="92"/>
      <c r="F119" s="90">
        <f t="shared" si="1"/>
        <v>0</v>
      </c>
    </row>
    <row r="120" spans="1:6" ht="15.75">
      <c r="A120" s="26"/>
      <c r="B120" s="20"/>
      <c r="C120" s="24"/>
      <c r="D120" s="47"/>
      <c r="E120" s="93"/>
      <c r="F120" s="90">
        <f t="shared" si="1"/>
        <v>0</v>
      </c>
    </row>
    <row r="121" spans="1:6" ht="18.75">
      <c r="A121" s="26"/>
      <c r="B121" s="5" t="s">
        <v>4</v>
      </c>
      <c r="C121" s="24"/>
      <c r="D121" s="48">
        <f>D120+D119+D118+D117+D116+D103+D90+D89+D85+D84+D79+D66+D55+D42+D29+D16</f>
        <v>2843970.84</v>
      </c>
      <c r="E121" s="48">
        <f>E120+E119+E118+E117+E116+E103+E90+E89+E85+E84+E79+E66+E55+E42+E29+E16</f>
        <v>2843970.84</v>
      </c>
      <c r="F121" s="90">
        <f t="shared" si="1"/>
        <v>0</v>
      </c>
    </row>
    <row r="122" spans="1:6" ht="15.75">
      <c r="A122" s="27" t="s">
        <v>129</v>
      </c>
      <c r="B122" s="12" t="s">
        <v>101</v>
      </c>
      <c r="C122" s="19"/>
      <c r="D122" s="78">
        <f>SUM(D123:D135)</f>
        <v>114213.68</v>
      </c>
      <c r="E122" s="78">
        <f>SUM(E123:E135)</f>
        <v>114213.68</v>
      </c>
      <c r="F122" s="78">
        <f t="shared" si="1"/>
        <v>0</v>
      </c>
    </row>
    <row r="123" spans="1:6" ht="15.75" hidden="1">
      <c r="A123" s="13"/>
      <c r="B123" s="14" t="s">
        <v>7</v>
      </c>
      <c r="C123" s="33"/>
      <c r="D123" s="83">
        <v>9362.78</v>
      </c>
      <c r="E123" s="83">
        <v>9362.78</v>
      </c>
      <c r="F123" s="85"/>
    </row>
    <row r="124" spans="1:6" ht="15.75" hidden="1">
      <c r="A124" s="13"/>
      <c r="B124" s="2" t="s">
        <v>8</v>
      </c>
      <c r="C124" s="24"/>
      <c r="D124" s="83">
        <v>9804.91</v>
      </c>
      <c r="E124" s="83">
        <v>9804.91</v>
      </c>
      <c r="F124" s="85"/>
    </row>
    <row r="125" spans="1:6" ht="15.75" hidden="1">
      <c r="A125" s="13"/>
      <c r="B125" s="2" t="s">
        <v>9</v>
      </c>
      <c r="C125" s="24"/>
      <c r="D125" s="83">
        <v>9005.13</v>
      </c>
      <c r="E125" s="83">
        <v>9005.13</v>
      </c>
      <c r="F125" s="85"/>
    </row>
    <row r="126" spans="1:6" ht="15.75" hidden="1">
      <c r="A126" s="13"/>
      <c r="B126" s="2" t="s">
        <v>10</v>
      </c>
      <c r="C126" s="24"/>
      <c r="D126" s="83">
        <v>9543.47</v>
      </c>
      <c r="E126" s="83">
        <v>9543.47</v>
      </c>
      <c r="F126" s="85"/>
    </row>
    <row r="127" spans="1:6" ht="15.75" hidden="1">
      <c r="A127" s="13"/>
      <c r="B127" s="2" t="s">
        <v>11</v>
      </c>
      <c r="C127" s="24"/>
      <c r="D127" s="83">
        <v>9579.21</v>
      </c>
      <c r="E127" s="83">
        <v>9579.21</v>
      </c>
      <c r="F127" s="85"/>
    </row>
    <row r="128" spans="1:6" ht="15.75" hidden="1">
      <c r="A128" s="13"/>
      <c r="B128" s="2" t="s">
        <v>12</v>
      </c>
      <c r="C128" s="24"/>
      <c r="D128" s="83">
        <v>9003.86</v>
      </c>
      <c r="E128" s="83">
        <v>9003.86</v>
      </c>
      <c r="F128" s="85"/>
    </row>
    <row r="129" spans="1:6" ht="15.75" hidden="1">
      <c r="A129" s="13"/>
      <c r="B129" s="14" t="s">
        <v>13</v>
      </c>
      <c r="C129" s="33"/>
      <c r="D129" s="83">
        <v>9474.63</v>
      </c>
      <c r="E129" s="83">
        <v>9474.63</v>
      </c>
      <c r="F129" s="85"/>
    </row>
    <row r="130" spans="1:6" ht="15.75" hidden="1">
      <c r="A130" s="13"/>
      <c r="B130" s="2" t="s">
        <v>14</v>
      </c>
      <c r="C130" s="24"/>
      <c r="D130" s="83">
        <v>9311.3</v>
      </c>
      <c r="E130" s="83">
        <v>9311.3</v>
      </c>
      <c r="F130" s="85"/>
    </row>
    <row r="131" spans="1:6" ht="15.75" hidden="1">
      <c r="A131" s="13"/>
      <c r="B131" s="2" t="s">
        <v>15</v>
      </c>
      <c r="C131" s="24"/>
      <c r="D131" s="83">
        <v>9789.95</v>
      </c>
      <c r="E131" s="83">
        <v>9789.95</v>
      </c>
      <c r="F131" s="85"/>
    </row>
    <row r="132" spans="1:6" ht="15.75" hidden="1">
      <c r="A132" s="13"/>
      <c r="B132" s="2" t="s">
        <v>16</v>
      </c>
      <c r="C132" s="24"/>
      <c r="D132" s="83">
        <v>9250.34</v>
      </c>
      <c r="E132" s="83">
        <v>9250.34</v>
      </c>
      <c r="F132" s="85"/>
    </row>
    <row r="133" spans="1:6" ht="15.75" hidden="1">
      <c r="A133" s="13"/>
      <c r="B133" s="2" t="s">
        <v>17</v>
      </c>
      <c r="C133" s="24"/>
      <c r="D133" s="83">
        <v>10125.57</v>
      </c>
      <c r="E133" s="83">
        <v>10125.57</v>
      </c>
      <c r="F133" s="85"/>
    </row>
    <row r="134" spans="1:6" ht="15.75" hidden="1">
      <c r="A134" s="13"/>
      <c r="B134" s="2" t="s">
        <v>21</v>
      </c>
      <c r="C134" s="24"/>
      <c r="D134" s="83">
        <v>9962.53</v>
      </c>
      <c r="E134" s="83">
        <v>9962.53</v>
      </c>
      <c r="F134" s="85"/>
    </row>
    <row r="135" spans="1:6" ht="15.75">
      <c r="A135" s="13"/>
      <c r="B135" s="9"/>
      <c r="C135" s="24"/>
      <c r="D135" s="87"/>
      <c r="E135" s="87"/>
      <c r="F135" s="94"/>
    </row>
    <row r="136" spans="1:6" ht="15.75">
      <c r="A136" s="13"/>
      <c r="B136" s="9" t="s">
        <v>30</v>
      </c>
      <c r="C136" s="36"/>
      <c r="D136" s="87"/>
      <c r="E136" s="87"/>
      <c r="F136" s="94"/>
    </row>
    <row r="137" spans="1:6" ht="15.75">
      <c r="A137" s="55" t="s">
        <v>79</v>
      </c>
      <c r="B137" s="12" t="s">
        <v>31</v>
      </c>
      <c r="C137" s="19"/>
      <c r="D137" s="78">
        <f>SUM(D138:D138)</f>
        <v>820</v>
      </c>
      <c r="E137" s="78">
        <f>SUM(E138:E138)</f>
        <v>820</v>
      </c>
      <c r="F137" s="78">
        <f>D137-E137</f>
        <v>0</v>
      </c>
    </row>
    <row r="138" spans="1:7" ht="72" customHeight="1">
      <c r="A138" s="53" t="s">
        <v>130</v>
      </c>
      <c r="B138" s="108" t="s">
        <v>95</v>
      </c>
      <c r="C138" s="37"/>
      <c r="D138" s="95">
        <v>820</v>
      </c>
      <c r="E138" s="95">
        <v>820</v>
      </c>
      <c r="F138" s="96"/>
      <c r="G138" s="11"/>
    </row>
    <row r="139" spans="1:6" ht="15.75">
      <c r="A139" s="25" t="s">
        <v>80</v>
      </c>
      <c r="B139" s="15" t="s">
        <v>32</v>
      </c>
      <c r="C139" s="34"/>
      <c r="D139" s="78">
        <f>SUM(D140:D141)</f>
        <v>337.27</v>
      </c>
      <c r="E139" s="78">
        <f>SUM(E140:E141)</f>
        <v>337.27</v>
      </c>
      <c r="F139" s="78">
        <f>D139-E139</f>
        <v>0</v>
      </c>
    </row>
    <row r="140" spans="1:7" ht="96" customHeight="1">
      <c r="A140" s="53" t="s">
        <v>88</v>
      </c>
      <c r="B140" s="108" t="s">
        <v>45</v>
      </c>
      <c r="C140" s="37"/>
      <c r="D140" s="97">
        <v>337.27</v>
      </c>
      <c r="E140" s="97">
        <v>337.27</v>
      </c>
      <c r="F140" s="84"/>
      <c r="G140" s="11"/>
    </row>
    <row r="141" spans="1:7" ht="32.25" customHeight="1">
      <c r="A141" s="53" t="s">
        <v>131</v>
      </c>
      <c r="B141" s="108" t="s">
        <v>96</v>
      </c>
      <c r="C141" s="37"/>
      <c r="D141" s="54"/>
      <c r="E141" s="97"/>
      <c r="F141" s="84"/>
      <c r="G141" s="11"/>
    </row>
    <row r="142" spans="1:7" ht="15.75">
      <c r="A142" s="25" t="s">
        <v>64</v>
      </c>
      <c r="B142" s="15" t="s">
        <v>33</v>
      </c>
      <c r="C142" s="34"/>
      <c r="D142" s="98">
        <f>SUM(D143:D148)</f>
        <v>768496</v>
      </c>
      <c r="E142" s="98">
        <f>SUM(E143:E148)</f>
        <v>768496</v>
      </c>
      <c r="F142" s="90">
        <f>D142-E142</f>
        <v>0</v>
      </c>
      <c r="G142" s="11"/>
    </row>
    <row r="143" spans="1:7" ht="56.25">
      <c r="A143" s="53" t="s">
        <v>65</v>
      </c>
      <c r="B143" s="108" t="s">
        <v>127</v>
      </c>
      <c r="C143" s="37"/>
      <c r="D143" s="97">
        <f>60020+55986+2338</f>
        <v>118344</v>
      </c>
      <c r="E143" s="97">
        <f>60020+55986+2338</f>
        <v>118344</v>
      </c>
      <c r="F143" s="84"/>
      <c r="G143" s="11"/>
    </row>
    <row r="144" spans="1:7" ht="56.25">
      <c r="A144" s="53" t="s">
        <v>66</v>
      </c>
      <c r="B144" s="108" t="s">
        <v>128</v>
      </c>
      <c r="C144" s="37"/>
      <c r="D144" s="97">
        <f>182000+125280+2686</f>
        <v>309966</v>
      </c>
      <c r="E144" s="97">
        <f>182000+125280+2686</f>
        <v>309966</v>
      </c>
      <c r="F144" s="99"/>
      <c r="G144" s="11"/>
    </row>
    <row r="145" spans="1:6" ht="32.25" customHeight="1">
      <c r="A145" s="53" t="s">
        <v>67</v>
      </c>
      <c r="B145" s="108" t="s">
        <v>125</v>
      </c>
      <c r="C145" s="37"/>
      <c r="D145" s="97">
        <f>26796</f>
        <v>26796</v>
      </c>
      <c r="E145" s="97">
        <f>26796</f>
        <v>26796</v>
      </c>
      <c r="F145" s="84"/>
    </row>
    <row r="146" spans="1:9" ht="56.25">
      <c r="A146" s="53" t="s">
        <v>132</v>
      </c>
      <c r="B146" s="108" t="s">
        <v>126</v>
      </c>
      <c r="C146" s="37"/>
      <c r="D146" s="97">
        <f>11000+17450</f>
        <v>28450</v>
      </c>
      <c r="E146" s="97">
        <f>11000+17450</f>
        <v>28450</v>
      </c>
      <c r="F146" s="84"/>
      <c r="G146" s="29"/>
      <c r="I146" s="11"/>
    </row>
    <row r="147" spans="1:9" ht="37.5">
      <c r="A147" s="53" t="s">
        <v>133</v>
      </c>
      <c r="B147" s="108" t="s">
        <v>116</v>
      </c>
      <c r="C147" s="37"/>
      <c r="D147" s="97">
        <f>144470+140470</f>
        <v>284940</v>
      </c>
      <c r="E147" s="97">
        <f>144470+140470</f>
        <v>284940</v>
      </c>
      <c r="F147" s="84"/>
      <c r="G147" s="29"/>
      <c r="I147" s="11"/>
    </row>
    <row r="148" spans="1:7" ht="18.75">
      <c r="A148" s="53" t="s">
        <v>134</v>
      </c>
      <c r="B148" s="108" t="s">
        <v>38</v>
      </c>
      <c r="C148" s="37"/>
      <c r="D148" s="97"/>
      <c r="E148" s="97"/>
      <c r="F148" s="84"/>
      <c r="G148" s="11"/>
    </row>
    <row r="149" spans="1:6" ht="15.75">
      <c r="A149" s="25" t="s">
        <v>68</v>
      </c>
      <c r="B149" s="15" t="s">
        <v>34</v>
      </c>
      <c r="C149" s="34"/>
      <c r="D149" s="98">
        <f>SUM(D150:D155)</f>
        <v>75228</v>
      </c>
      <c r="E149" s="98">
        <f>SUM(E150:E155)</f>
        <v>75228</v>
      </c>
      <c r="F149" s="90">
        <f>D149-E149</f>
        <v>0</v>
      </c>
    </row>
    <row r="150" spans="1:12" ht="18.75">
      <c r="A150" s="53" t="s">
        <v>69</v>
      </c>
      <c r="B150" s="108" t="s">
        <v>117</v>
      </c>
      <c r="C150" s="37"/>
      <c r="D150" s="100">
        <f>2000+9600</f>
        <v>11600</v>
      </c>
      <c r="E150" s="100">
        <f>2000+9600</f>
        <v>11600</v>
      </c>
      <c r="F150" s="94"/>
      <c r="I150" s="11"/>
      <c r="L150" s="11"/>
    </row>
    <row r="151" spans="1:10" ht="21.75" customHeight="1">
      <c r="A151" s="53" t="s">
        <v>70</v>
      </c>
      <c r="B151" s="108" t="s">
        <v>97</v>
      </c>
      <c r="C151" s="37"/>
      <c r="D151" s="97">
        <f>31500+28000</f>
        <v>59500</v>
      </c>
      <c r="E151" s="97">
        <f>31500+28000</f>
        <v>59500</v>
      </c>
      <c r="F151" s="94"/>
      <c r="G151" s="11"/>
      <c r="H151" s="11"/>
      <c r="J151" s="11"/>
    </row>
    <row r="152" spans="1:10" ht="96.75" customHeight="1">
      <c r="A152" s="53" t="s">
        <v>71</v>
      </c>
      <c r="B152" s="108" t="s">
        <v>100</v>
      </c>
      <c r="C152" s="37"/>
      <c r="D152" s="97">
        <f>2787</f>
        <v>2787</v>
      </c>
      <c r="E152" s="97">
        <f>2787</f>
        <v>2787</v>
      </c>
      <c r="F152" s="94"/>
      <c r="H152" s="11"/>
      <c r="J152" s="11"/>
    </row>
    <row r="153" spans="1:10" ht="20.25" customHeight="1">
      <c r="A153" s="53" t="s">
        <v>89</v>
      </c>
      <c r="B153" s="108" t="s">
        <v>78</v>
      </c>
      <c r="C153" s="37"/>
      <c r="D153" s="97"/>
      <c r="E153" s="97"/>
      <c r="F153" s="94"/>
      <c r="G153" s="11"/>
      <c r="J153" s="11"/>
    </row>
    <row r="154" spans="1:6" ht="55.5" customHeight="1">
      <c r="A154" s="53" t="s">
        <v>90</v>
      </c>
      <c r="B154" s="108" t="s">
        <v>41</v>
      </c>
      <c r="C154" s="37"/>
      <c r="D154" s="97">
        <f>1341</f>
        <v>1341</v>
      </c>
      <c r="E154" s="97">
        <f>1341</f>
        <v>1341</v>
      </c>
      <c r="F154" s="94"/>
    </row>
    <row r="155" spans="1:7" ht="37.5">
      <c r="A155" s="53" t="s">
        <v>103</v>
      </c>
      <c r="B155" s="108" t="s">
        <v>86</v>
      </c>
      <c r="C155" s="37"/>
      <c r="D155" s="97"/>
      <c r="E155" s="97"/>
      <c r="F155" s="94"/>
      <c r="G155" s="11"/>
    </row>
    <row r="156" spans="1:6" ht="20.25" customHeight="1">
      <c r="A156" s="26" t="s">
        <v>72</v>
      </c>
      <c r="B156" s="28" t="s">
        <v>75</v>
      </c>
      <c r="C156" s="37"/>
      <c r="D156" s="101">
        <f>SUM(D157:D161)</f>
        <v>1114072.74</v>
      </c>
      <c r="E156" s="101">
        <f>SUM(E157:E161)</f>
        <v>1114072.74</v>
      </c>
      <c r="F156" s="90">
        <f>D156-E156</f>
        <v>0</v>
      </c>
    </row>
    <row r="157" spans="1:6" ht="21" customHeight="1">
      <c r="A157" s="26"/>
      <c r="B157" s="109" t="s">
        <v>82</v>
      </c>
      <c r="C157" s="37"/>
      <c r="D157" s="97">
        <f>16349.3+16650.7+15000+14874.74+18972.94+18972.94+18972.94+18972.94</f>
        <v>138766.5</v>
      </c>
      <c r="E157" s="97">
        <f>16349.3+16650.7+15000+14874.74+18972.94+18972.94+18972.94+18972.94</f>
        <v>138766.5</v>
      </c>
      <c r="F157" s="90"/>
    </row>
    <row r="158" spans="1:6" ht="18.75">
      <c r="A158" s="26"/>
      <c r="B158" s="109" t="s">
        <v>83</v>
      </c>
      <c r="C158" s="37"/>
      <c r="D158" s="97">
        <f>35000+25000+35000+35000+25000+25000+20000</f>
        <v>200000</v>
      </c>
      <c r="E158" s="97">
        <f>35000+25000+35000+35000+25000+25000+20000</f>
        <v>200000</v>
      </c>
      <c r="F158" s="90"/>
    </row>
    <row r="159" spans="1:6" ht="18.75">
      <c r="A159" s="26"/>
      <c r="B159" s="109" t="s">
        <v>84</v>
      </c>
      <c r="C159" s="37"/>
      <c r="D159" s="97">
        <f>50000+75000+30000</f>
        <v>155000</v>
      </c>
      <c r="E159" s="97">
        <f>50000+75000+30000</f>
        <v>155000</v>
      </c>
      <c r="F159" s="90"/>
    </row>
    <row r="160" spans="1:6" ht="18.75">
      <c r="A160" s="26"/>
      <c r="B160" s="110" t="s">
        <v>87</v>
      </c>
      <c r="C160" s="37"/>
      <c r="D160" s="97">
        <f>9600+9600+9600+9600+9600+9600+9600+9600+9600+9600+9600+9600</f>
        <v>115200</v>
      </c>
      <c r="E160" s="97">
        <f>9600+9600+9600+9600+9600+9600+9600+9600+9600+9600+9600+9600</f>
        <v>115200</v>
      </c>
      <c r="F160" s="90"/>
    </row>
    <row r="161" spans="1:6" ht="18.75">
      <c r="A161" s="26"/>
      <c r="B161" s="110" t="s">
        <v>114</v>
      </c>
      <c r="C161" s="37"/>
      <c r="D161" s="97">
        <f>4191.68+40905.57+36189.92+40905.57+39333.66+40905.56+39333.68+4191.68+42541.9+42541.9+40907.14+42541.9+39554.19+4746.08+46315.81</f>
        <v>505106.24000000005</v>
      </c>
      <c r="E161" s="97">
        <f>4191.68+40905.57+36189.92+40905.57+39333.66+40905.56+39333.68+4191.68+42541.9+42541.9+40907.14+42541.9+39554.19+4746.08+46315.81</f>
        <v>505106.24000000005</v>
      </c>
      <c r="F161" s="90"/>
    </row>
    <row r="162" spans="1:6" ht="54">
      <c r="A162" s="25" t="s">
        <v>73</v>
      </c>
      <c r="B162" s="111" t="s">
        <v>39</v>
      </c>
      <c r="C162" s="34"/>
      <c r="D162" s="98">
        <f>3200+1109.7</f>
        <v>4309.7</v>
      </c>
      <c r="E162" s="98">
        <f>3200+1109.7</f>
        <v>4309.7</v>
      </c>
      <c r="F162" s="90">
        <f>D162-E162</f>
        <v>0</v>
      </c>
    </row>
    <row r="163" spans="1:6" ht="18">
      <c r="A163" s="25" t="s">
        <v>74</v>
      </c>
      <c r="B163" s="111" t="s">
        <v>36</v>
      </c>
      <c r="C163" s="34"/>
      <c r="D163" s="98"/>
      <c r="E163" s="98">
        <f>SUM(E164:E169)</f>
        <v>0</v>
      </c>
      <c r="F163" s="90">
        <f>D163-E163</f>
        <v>0</v>
      </c>
    </row>
    <row r="164" spans="1:6" ht="18.75">
      <c r="A164" s="2"/>
      <c r="B164" s="112"/>
      <c r="C164" s="24"/>
      <c r="D164" s="97"/>
      <c r="E164" s="100"/>
      <c r="F164" s="102"/>
    </row>
    <row r="165" spans="1:6" ht="18.75" hidden="1">
      <c r="A165" s="2"/>
      <c r="B165" s="109"/>
      <c r="C165" s="24"/>
      <c r="D165" s="97"/>
      <c r="E165" s="100"/>
      <c r="F165" s="102"/>
    </row>
    <row r="166" spans="1:6" ht="18.75" hidden="1">
      <c r="A166" s="2"/>
      <c r="B166" s="110"/>
      <c r="C166" s="24"/>
      <c r="D166" s="97"/>
      <c r="E166" s="100"/>
      <c r="F166" s="102"/>
    </row>
    <row r="167" spans="1:6" ht="18.75" hidden="1">
      <c r="A167" s="2"/>
      <c r="B167" s="113"/>
      <c r="C167" s="24"/>
      <c r="D167" s="97"/>
      <c r="E167" s="100"/>
      <c r="F167" s="102"/>
    </row>
    <row r="168" spans="1:6" ht="18.75" hidden="1">
      <c r="A168" s="2"/>
      <c r="B168" s="109"/>
      <c r="C168" s="24"/>
      <c r="D168" s="97"/>
      <c r="E168" s="100"/>
      <c r="F168" s="102"/>
    </row>
    <row r="169" spans="1:6" ht="18.75" hidden="1">
      <c r="A169" s="2"/>
      <c r="B169" s="109"/>
      <c r="C169" s="24"/>
      <c r="D169" s="97"/>
      <c r="E169" s="100"/>
      <c r="F169" s="102"/>
    </row>
    <row r="170" spans="1:6" ht="13.5" customHeight="1" hidden="1">
      <c r="A170" s="2"/>
      <c r="B170" s="114"/>
      <c r="C170" s="24"/>
      <c r="D170" s="97"/>
      <c r="E170" s="103">
        <f>SUM(E171:E177)</f>
        <v>0</v>
      </c>
      <c r="F170" s="104"/>
    </row>
    <row r="171" spans="1:6" ht="18.75" hidden="1">
      <c r="A171" s="2"/>
      <c r="B171" s="109"/>
      <c r="C171" s="24"/>
      <c r="D171" s="97"/>
      <c r="E171" s="100"/>
      <c r="F171" s="104"/>
    </row>
    <row r="172" spans="1:6" ht="18.75" hidden="1">
      <c r="A172" s="2"/>
      <c r="B172" s="109"/>
      <c r="C172" s="24"/>
      <c r="D172" s="97"/>
      <c r="E172" s="100"/>
      <c r="F172" s="104"/>
    </row>
    <row r="173" spans="1:6" ht="18.75" hidden="1">
      <c r="A173" s="2"/>
      <c r="B173" s="109"/>
      <c r="C173" s="24"/>
      <c r="D173" s="97"/>
      <c r="E173" s="100"/>
      <c r="F173" s="104"/>
    </row>
    <row r="174" spans="1:6" ht="18.75" hidden="1">
      <c r="A174" s="2"/>
      <c r="B174" s="109"/>
      <c r="C174" s="24"/>
      <c r="D174" s="97"/>
      <c r="E174" s="100"/>
      <c r="F174" s="104"/>
    </row>
    <row r="175" spans="1:6" ht="18.75" hidden="1">
      <c r="A175" s="2"/>
      <c r="B175" s="109"/>
      <c r="C175" s="24"/>
      <c r="D175" s="97"/>
      <c r="E175" s="100"/>
      <c r="F175" s="104"/>
    </row>
    <row r="176" spans="1:6" ht="18.75" hidden="1">
      <c r="A176" s="2"/>
      <c r="B176" s="109"/>
      <c r="C176" s="24"/>
      <c r="D176" s="97"/>
      <c r="E176" s="100"/>
      <c r="F176" s="104"/>
    </row>
    <row r="177" spans="1:6" ht="18.75" hidden="1">
      <c r="A177" s="2"/>
      <c r="B177" s="109"/>
      <c r="C177" s="24"/>
      <c r="D177" s="97"/>
      <c r="E177" s="100"/>
      <c r="F177" s="104"/>
    </row>
    <row r="178" spans="1:6" ht="18">
      <c r="A178" s="3"/>
      <c r="B178" s="16" t="s">
        <v>81</v>
      </c>
      <c r="C178" s="18"/>
      <c r="D178" s="105"/>
      <c r="E178" s="105">
        <f>E163+E162+E156+E149+E142+E139+E137+E120+E119+E118+E117+E116+E103+E90+E89+E85+E84+E79+E66+E55+E29+E16+E170+E42</f>
        <v>4807234.55</v>
      </c>
      <c r="F178" s="106"/>
    </row>
    <row r="179" spans="1:6" ht="18">
      <c r="A179" s="2"/>
      <c r="B179" s="16" t="s">
        <v>4</v>
      </c>
      <c r="C179" s="24"/>
      <c r="D179" s="50"/>
      <c r="E179" s="57">
        <f>SUM(E178:E178)</f>
        <v>4807234.55</v>
      </c>
      <c r="F179" s="49"/>
    </row>
    <row r="181" ht="15">
      <c r="F181" s="52"/>
    </row>
    <row r="183" spans="2:6" ht="15">
      <c r="B183" t="s">
        <v>37</v>
      </c>
      <c r="F183" s="17" t="s">
        <v>42</v>
      </c>
    </row>
    <row r="185" ht="18.75">
      <c r="D185" s="56"/>
    </row>
    <row r="187" spans="1:4" ht="22.5">
      <c r="A187" s="137" t="s">
        <v>91</v>
      </c>
      <c r="B187" s="137"/>
      <c r="C187" s="137"/>
      <c r="D187" s="137"/>
    </row>
    <row r="188" spans="1:4" ht="15">
      <c r="A188" s="138" t="s">
        <v>135</v>
      </c>
      <c r="B188" s="138"/>
      <c r="C188" s="139" t="s">
        <v>122</v>
      </c>
      <c r="D188" s="138"/>
    </row>
    <row r="189" spans="1:4" ht="15">
      <c r="A189" s="58" t="s">
        <v>1</v>
      </c>
      <c r="B189" s="59"/>
      <c r="C189" s="60"/>
      <c r="D189" s="61"/>
    </row>
    <row r="190" spans="1:4" ht="37.5">
      <c r="A190" s="115">
        <v>1</v>
      </c>
      <c r="B190" s="116" t="s">
        <v>107</v>
      </c>
      <c r="C190" s="117">
        <v>2502596.6199999996</v>
      </c>
      <c r="D190" s="118"/>
    </row>
    <row r="191" spans="1:4" ht="18.75">
      <c r="A191" s="115">
        <v>2</v>
      </c>
      <c r="B191" s="116" t="s">
        <v>92</v>
      </c>
      <c r="C191" s="119">
        <v>3181753.28</v>
      </c>
      <c r="D191" s="118"/>
    </row>
    <row r="192" spans="1:4" ht="18.75">
      <c r="A192" s="115">
        <v>3</v>
      </c>
      <c r="B192" s="116" t="s">
        <v>93</v>
      </c>
      <c r="C192" s="120"/>
      <c r="D192" s="121"/>
    </row>
    <row r="193" spans="1:4" ht="18.75">
      <c r="A193" s="122">
        <v>4</v>
      </c>
      <c r="B193" s="123" t="s">
        <v>108</v>
      </c>
      <c r="C193" s="124">
        <f>C190+C191-C192</f>
        <v>5684349.899999999</v>
      </c>
      <c r="D193" s="125"/>
    </row>
  </sheetData>
  <sheetProtection/>
  <mergeCells count="6">
    <mergeCell ref="A1:F1"/>
    <mergeCell ref="A2:B2"/>
    <mergeCell ref="D2:F2"/>
    <mergeCell ref="A187:D187"/>
    <mergeCell ref="A188:B188"/>
    <mergeCell ref="C188:D188"/>
  </mergeCells>
  <printOptions/>
  <pageMargins left="0.6299212598425197" right="0.2362204724409449" top="0.23" bottom="0.21" header="0.2" footer="0.2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Пользователь</cp:lastModifiedBy>
  <cp:lastPrinted>2023-03-07T08:45:33Z</cp:lastPrinted>
  <dcterms:created xsi:type="dcterms:W3CDTF">2013-07-31T08:55:04Z</dcterms:created>
  <dcterms:modified xsi:type="dcterms:W3CDTF">2023-03-10T09:58:59Z</dcterms:modified>
  <cp:category/>
  <cp:version/>
  <cp:contentType/>
  <cp:contentStatus/>
</cp:coreProperties>
</file>